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25755" windowHeight="14565" activeTab="3"/>
  </bookViews>
  <sheets>
    <sheet name="Multiperiod Call" sheetId="9" r:id="rId1"/>
    <sheet name="Muliperiod Put" sheetId="8" r:id="rId2"/>
    <sheet name="Mine Lease" sheetId="7" r:id="rId3"/>
    <sheet name="Simulator" sheetId="1" r:id="rId4"/>
    <sheet name="Strategy" sheetId="2" r:id="rId5"/>
    <sheet name="Payoff Diagrams" sheetId="3" r:id="rId6"/>
  </sheets>
  <calcPr calcId="125725" iterateDelta="1.0000000000000001E-5"/>
</workbook>
</file>

<file path=xl/calcChain.xml><?xml version="1.0" encoding="utf-8"?>
<calcChain xmlns="http://schemas.openxmlformats.org/spreadsheetml/2006/main">
  <c r="P12" i="7"/>
  <c r="C12"/>
  <c r="B12"/>
  <c r="A12"/>
  <c r="D12" s="1"/>
  <c r="P11"/>
  <c r="P10"/>
  <c r="P9"/>
  <c r="P8"/>
  <c r="P7"/>
  <c r="P6"/>
  <c r="P5"/>
  <c r="B5"/>
  <c r="P4"/>
  <c r="P3"/>
  <c r="P13" s="1"/>
  <c r="P16" i="8"/>
  <c r="P18" s="1"/>
  <c r="G12"/>
  <c r="F2"/>
  <c r="A2"/>
  <c r="H25" s="1"/>
  <c r="I25" s="1"/>
  <c r="J25" s="1"/>
  <c r="K25" s="1"/>
  <c r="L25" s="1"/>
  <c r="F25" s="1"/>
  <c r="G25" i="9"/>
  <c r="P16"/>
  <c r="P17" s="1"/>
  <c r="P19" s="1"/>
  <c r="G12"/>
  <c r="F2"/>
  <c r="A2"/>
  <c r="B2" s="1"/>
  <c r="N5" i="1"/>
  <c r="K7"/>
  <c r="L7" s="1"/>
  <c r="C6" i="7" l="1"/>
  <c r="B4"/>
  <c r="H11" i="8"/>
  <c r="P17"/>
  <c r="P19" s="1"/>
  <c r="P20" s="1"/>
  <c r="B2"/>
  <c r="H26" s="1"/>
  <c r="H26" i="9"/>
  <c r="H13"/>
  <c r="I14" s="1"/>
  <c r="P18"/>
  <c r="P20" s="1"/>
  <c r="I2"/>
  <c r="H11"/>
  <c r="H25"/>
  <c r="I25" s="1"/>
  <c r="J25" s="1"/>
  <c r="K25" s="1"/>
  <c r="L25" s="1"/>
  <c r="F25" s="1"/>
  <c r="K10" i="1"/>
  <c r="K9"/>
  <c r="K8"/>
  <c r="N7"/>
  <c r="M7"/>
  <c r="D7" i="7" l="1"/>
  <c r="C4"/>
  <c r="C5"/>
  <c r="H13" i="8"/>
  <c r="I14" s="1"/>
  <c r="I2"/>
  <c r="I27"/>
  <c r="I26"/>
  <c r="J26" s="1"/>
  <c r="K26" s="1"/>
  <c r="L26" s="1"/>
  <c r="F26" s="1"/>
  <c r="I12"/>
  <c r="J11" s="1"/>
  <c r="K12" s="1"/>
  <c r="L11" s="1"/>
  <c r="F11" s="1"/>
  <c r="I10"/>
  <c r="J9" s="1"/>
  <c r="E25" i="9"/>
  <c r="I27"/>
  <c r="I26"/>
  <c r="J26" s="1"/>
  <c r="K26" s="1"/>
  <c r="L26" s="1"/>
  <c r="F26" s="1"/>
  <c r="J15"/>
  <c r="K16" s="1"/>
  <c r="J13"/>
  <c r="K14" s="1"/>
  <c r="L13" s="1"/>
  <c r="F13" s="1"/>
  <c r="I12"/>
  <c r="J11" s="1"/>
  <c r="K12" s="1"/>
  <c r="L11" s="1"/>
  <c r="F11" s="1"/>
  <c r="E12" s="1"/>
  <c r="I10"/>
  <c r="J9" s="1"/>
  <c r="E4" i="2"/>
  <c r="D5" i="7" l="1"/>
  <c r="D4"/>
  <c r="D6"/>
  <c r="E8"/>
  <c r="J15" i="8"/>
  <c r="K16" s="1"/>
  <c r="J13"/>
  <c r="K14" s="1"/>
  <c r="L13" s="1"/>
  <c r="F13" s="1"/>
  <c r="D25"/>
  <c r="E25"/>
  <c r="E26"/>
  <c r="J27"/>
  <c r="K27" s="1"/>
  <c r="L27" s="1"/>
  <c r="F27" s="1"/>
  <c r="J28"/>
  <c r="K10"/>
  <c r="L9" s="1"/>
  <c r="F9" s="1"/>
  <c r="E10" s="1"/>
  <c r="K8"/>
  <c r="L7" s="1"/>
  <c r="F7" s="1"/>
  <c r="L15" i="9"/>
  <c r="F15" s="1"/>
  <c r="E16" s="1"/>
  <c r="L17"/>
  <c r="F17" s="1"/>
  <c r="J27"/>
  <c r="K27" s="1"/>
  <c r="L27" s="1"/>
  <c r="F27" s="1"/>
  <c r="J28"/>
  <c r="E14"/>
  <c r="D15" s="1"/>
  <c r="K10"/>
  <c r="L9" s="1"/>
  <c r="F9" s="1"/>
  <c r="E10" s="1"/>
  <c r="D11" s="1"/>
  <c r="K8"/>
  <c r="L7" s="1"/>
  <c r="F7" s="1"/>
  <c r="E8" s="1"/>
  <c r="D9" s="1"/>
  <c r="C10" s="1"/>
  <c r="H4" i="2"/>
  <c r="J4"/>
  <c r="G30" i="1"/>
  <c r="A30"/>
  <c r="B30" s="1"/>
  <c r="G15"/>
  <c r="A15"/>
  <c r="B15" s="1"/>
  <c r="B5" s="1"/>
  <c r="B8" i="2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7"/>
  <c r="C4"/>
  <c r="A4"/>
  <c r="E7" i="7" l="1"/>
  <c r="E6"/>
  <c r="F9"/>
  <c r="E5"/>
  <c r="E4"/>
  <c r="L15" i="8"/>
  <c r="F15" s="1"/>
  <c r="E16" s="1"/>
  <c r="L17"/>
  <c r="F17" s="1"/>
  <c r="E8"/>
  <c r="D9" s="1"/>
  <c r="E12"/>
  <c r="K29"/>
  <c r="K28"/>
  <c r="L28" s="1"/>
  <c r="F28" s="1"/>
  <c r="B11" i="9"/>
  <c r="A12" s="1"/>
  <c r="D13"/>
  <c r="C14" s="1"/>
  <c r="K29"/>
  <c r="K28"/>
  <c r="L28" s="1"/>
  <c r="F28" s="1"/>
  <c r="E27" s="1"/>
  <c r="E26"/>
  <c r="C12"/>
  <c r="B13" s="1"/>
  <c r="C6" i="1"/>
  <c r="C5"/>
  <c r="D5" s="1"/>
  <c r="E5" s="1"/>
  <c r="F5" s="1"/>
  <c r="G5" s="1"/>
  <c r="B4"/>
  <c r="C4" s="1"/>
  <c r="D4" s="1"/>
  <c r="E4" s="1"/>
  <c r="F4" s="1"/>
  <c r="G4" s="1"/>
  <c r="J15"/>
  <c r="J30"/>
  <c r="F8" i="7" l="1"/>
  <c r="G10"/>
  <c r="F6"/>
  <c r="F5"/>
  <c r="F4"/>
  <c r="F7"/>
  <c r="L29" i="8"/>
  <c r="F29" s="1"/>
  <c r="L30"/>
  <c r="F30" s="1"/>
  <c r="E14"/>
  <c r="D15" s="1"/>
  <c r="E27"/>
  <c r="E28"/>
  <c r="D11"/>
  <c r="D27" i="9"/>
  <c r="D26"/>
  <c r="D25"/>
  <c r="L29"/>
  <c r="F29" s="1"/>
  <c r="L30"/>
  <c r="F30" s="1"/>
  <c r="E28"/>
  <c r="D6" i="1"/>
  <c r="E6" s="1"/>
  <c r="F6" s="1"/>
  <c r="G6" s="1"/>
  <c r="D7"/>
  <c r="W19"/>
  <c r="G35"/>
  <c r="O35"/>
  <c r="O19"/>
  <c r="G19"/>
  <c r="W18"/>
  <c r="G34"/>
  <c r="O34"/>
  <c r="O18"/>
  <c r="G18"/>
  <c r="G8" i="7" l="1"/>
  <c r="G6"/>
  <c r="G7"/>
  <c r="G9"/>
  <c r="G4"/>
  <c r="G5"/>
  <c r="H11"/>
  <c r="D27" i="8"/>
  <c r="D26"/>
  <c r="E29"/>
  <c r="D28" s="1"/>
  <c r="D13"/>
  <c r="C14" s="1"/>
  <c r="C10"/>
  <c r="C26" i="9"/>
  <c r="C25"/>
  <c r="E29"/>
  <c r="D28" s="1"/>
  <c r="C27" s="1"/>
  <c r="F34" i="1"/>
  <c r="N18"/>
  <c r="F18"/>
  <c r="V18"/>
  <c r="E7"/>
  <c r="F7" s="1"/>
  <c r="G7" s="1"/>
  <c r="E8"/>
  <c r="N34"/>
  <c r="W20"/>
  <c r="O20"/>
  <c r="G20"/>
  <c r="O36"/>
  <c r="N35" s="1"/>
  <c r="G36"/>
  <c r="I12" i="7" l="1"/>
  <c r="H5"/>
  <c r="H4"/>
  <c r="H9"/>
  <c r="H8"/>
  <c r="H7"/>
  <c r="H6"/>
  <c r="H10"/>
  <c r="C26" i="8"/>
  <c r="C25"/>
  <c r="B25" s="1"/>
  <c r="C27"/>
  <c r="C12"/>
  <c r="B13" s="1"/>
  <c r="B11"/>
  <c r="A12" s="1"/>
  <c r="B26" i="9"/>
  <c r="B25"/>
  <c r="M34" i="1"/>
  <c r="F35"/>
  <c r="E34" s="1"/>
  <c r="W21"/>
  <c r="G37"/>
  <c r="F36" s="1"/>
  <c r="O21"/>
  <c r="N20" s="1"/>
  <c r="G21"/>
  <c r="O37"/>
  <c r="N19"/>
  <c r="F9"/>
  <c r="F8"/>
  <c r="G8" s="1"/>
  <c r="V19"/>
  <c r="N36"/>
  <c r="F19"/>
  <c r="I7" i="7" l="1"/>
  <c r="I6"/>
  <c r="J13"/>
  <c r="I5"/>
  <c r="I4"/>
  <c r="I11"/>
  <c r="I8"/>
  <c r="I9"/>
  <c r="I10"/>
  <c r="B26" i="8"/>
  <c r="A25"/>
  <c r="A25" i="9"/>
  <c r="E35" i="1"/>
  <c r="D34" s="1"/>
  <c r="G9"/>
  <c r="G10"/>
  <c r="M35"/>
  <c r="E18"/>
  <c r="W22"/>
  <c r="V21" s="1"/>
  <c r="O38"/>
  <c r="O22"/>
  <c r="G38"/>
  <c r="G22"/>
  <c r="F21" s="1"/>
  <c r="N37"/>
  <c r="F20"/>
  <c r="E19" s="1"/>
  <c r="F37"/>
  <c r="E36" s="1"/>
  <c r="V20"/>
  <c r="U19" s="1"/>
  <c r="U18"/>
  <c r="M19"/>
  <c r="M18"/>
  <c r="N21"/>
  <c r="M20" s="1"/>
  <c r="L34"/>
  <c r="J11" i="7" l="1"/>
  <c r="J10"/>
  <c r="J5"/>
  <c r="J4"/>
  <c r="J9"/>
  <c r="J6"/>
  <c r="J8"/>
  <c r="J12"/>
  <c r="J7"/>
  <c r="J41"/>
  <c r="J27"/>
  <c r="K14"/>
  <c r="J55"/>
  <c r="L18" i="1"/>
  <c r="D35"/>
  <c r="C34" s="1"/>
  <c r="W24"/>
  <c r="O24"/>
  <c r="G24"/>
  <c r="G40"/>
  <c r="O40"/>
  <c r="U20"/>
  <c r="T19" s="1"/>
  <c r="M36"/>
  <c r="L35" s="1"/>
  <c r="K34" s="1"/>
  <c r="T18"/>
  <c r="E20"/>
  <c r="D18"/>
  <c r="W23"/>
  <c r="G23"/>
  <c r="O23"/>
  <c r="N23" s="1"/>
  <c r="G39"/>
  <c r="F39" s="1"/>
  <c r="O39"/>
  <c r="N39" s="1"/>
  <c r="L19"/>
  <c r="F22"/>
  <c r="V22"/>
  <c r="J54" i="7" l="1"/>
  <c r="I54" s="1"/>
  <c r="J40"/>
  <c r="I40" s="1"/>
  <c r="J26"/>
  <c r="I26" s="1"/>
  <c r="K13"/>
  <c r="J34"/>
  <c r="J20"/>
  <c r="K7"/>
  <c r="J48"/>
  <c r="J51"/>
  <c r="J37"/>
  <c r="J23"/>
  <c r="K10"/>
  <c r="J33"/>
  <c r="J19"/>
  <c r="I19" s="1"/>
  <c r="K6"/>
  <c r="J49"/>
  <c r="K8"/>
  <c r="J35"/>
  <c r="I35" s="1"/>
  <c r="H35" s="1"/>
  <c r="J21"/>
  <c r="J50"/>
  <c r="J36"/>
  <c r="I36" s="1"/>
  <c r="J22"/>
  <c r="I22" s="1"/>
  <c r="K9"/>
  <c r="K4"/>
  <c r="J32"/>
  <c r="J18"/>
  <c r="I18" s="1"/>
  <c r="H18" s="1"/>
  <c r="K5"/>
  <c r="K11"/>
  <c r="J52"/>
  <c r="I52" s="1"/>
  <c r="H52" s="1"/>
  <c r="G52" s="1"/>
  <c r="J38"/>
  <c r="J24"/>
  <c r="J53"/>
  <c r="I53" s="1"/>
  <c r="H53" s="1"/>
  <c r="K12"/>
  <c r="J39"/>
  <c r="I39" s="1"/>
  <c r="H39" s="1"/>
  <c r="J25"/>
  <c r="I25" s="1"/>
  <c r="H25" s="1"/>
  <c r="K18" i="1"/>
  <c r="F23"/>
  <c r="E22" s="1"/>
  <c r="S18"/>
  <c r="N22"/>
  <c r="N38"/>
  <c r="V23"/>
  <c r="U22" s="1"/>
  <c r="D19"/>
  <c r="E21"/>
  <c r="D20" s="1"/>
  <c r="F38"/>
  <c r="U21"/>
  <c r="T20" s="1"/>
  <c r="S19" s="1"/>
  <c r="R18" s="1"/>
  <c r="J46" i="7" l="1"/>
  <c r="I32"/>
  <c r="J47"/>
  <c r="I33"/>
  <c r="I51"/>
  <c r="H51" s="1"/>
  <c r="G51" s="1"/>
  <c r="F51" s="1"/>
  <c r="I34"/>
  <c r="I37"/>
  <c r="H36" s="1"/>
  <c r="I20"/>
  <c r="H19" s="1"/>
  <c r="I23"/>
  <c r="H23" s="1"/>
  <c r="G23" s="1"/>
  <c r="F23" s="1"/>
  <c r="I38"/>
  <c r="H38" s="1"/>
  <c r="G38" s="1"/>
  <c r="I24"/>
  <c r="H24" s="1"/>
  <c r="G24" s="1"/>
  <c r="I21"/>
  <c r="H21" s="1"/>
  <c r="I50"/>
  <c r="H50" s="1"/>
  <c r="G50" s="1"/>
  <c r="F50" s="1"/>
  <c r="E50" s="1"/>
  <c r="I49"/>
  <c r="D21" i="1"/>
  <c r="C20" s="1"/>
  <c r="T21"/>
  <c r="S20" s="1"/>
  <c r="R19" s="1"/>
  <c r="Q18" s="1"/>
  <c r="F4" i="2" s="1"/>
  <c r="C18" i="1"/>
  <c r="C19"/>
  <c r="M21"/>
  <c r="L20" s="1"/>
  <c r="M22"/>
  <c r="M38"/>
  <c r="M37"/>
  <c r="E38"/>
  <c r="E37"/>
  <c r="G35" i="7" l="1"/>
  <c r="G18"/>
  <c r="I46"/>
  <c r="H32"/>
  <c r="I48"/>
  <c r="H48" s="1"/>
  <c r="H34"/>
  <c r="G34" s="1"/>
  <c r="F34" s="1"/>
  <c r="H49"/>
  <c r="G49" s="1"/>
  <c r="F49" s="1"/>
  <c r="E49" s="1"/>
  <c r="D49" s="1"/>
  <c r="I47"/>
  <c r="H33"/>
  <c r="H37"/>
  <c r="G37" s="1"/>
  <c r="F37" s="1"/>
  <c r="H20"/>
  <c r="G20" s="1"/>
  <c r="H22"/>
  <c r="G22" s="1"/>
  <c r="F22" s="1"/>
  <c r="E22" s="1"/>
  <c r="B19" i="1"/>
  <c r="L21"/>
  <c r="B18"/>
  <c r="A18" s="1"/>
  <c r="B4" i="2" s="1"/>
  <c r="G21"/>
  <c r="G31"/>
  <c r="G25"/>
  <c r="G27"/>
  <c r="G29"/>
  <c r="G28"/>
  <c r="G7"/>
  <c r="G11"/>
  <c r="G19"/>
  <c r="G37"/>
  <c r="G23"/>
  <c r="G20"/>
  <c r="G14"/>
  <c r="G8"/>
  <c r="G17"/>
  <c r="G16"/>
  <c r="G10"/>
  <c r="G36"/>
  <c r="G30"/>
  <c r="G24"/>
  <c r="G34"/>
  <c r="G33"/>
  <c r="G35"/>
  <c r="G18"/>
  <c r="G12"/>
  <c r="G22"/>
  <c r="G32"/>
  <c r="G26"/>
  <c r="G15"/>
  <c r="G9"/>
  <c r="G13"/>
  <c r="C31"/>
  <c r="C25"/>
  <c r="C32"/>
  <c r="C30"/>
  <c r="C11"/>
  <c r="C34"/>
  <c r="C8"/>
  <c r="C22"/>
  <c r="C17"/>
  <c r="C10"/>
  <c r="C21"/>
  <c r="C13"/>
  <c r="C14"/>
  <c r="C36"/>
  <c r="C26"/>
  <c r="C24"/>
  <c r="C7"/>
  <c r="C16"/>
  <c r="C35"/>
  <c r="C37"/>
  <c r="C12"/>
  <c r="C33"/>
  <c r="C23"/>
  <c r="C9"/>
  <c r="C27"/>
  <c r="C18"/>
  <c r="C15"/>
  <c r="C19"/>
  <c r="C29"/>
  <c r="C20"/>
  <c r="C28"/>
  <c r="D37" i="1"/>
  <c r="D36"/>
  <c r="L37"/>
  <c r="L36"/>
  <c r="K19"/>
  <c r="K20"/>
  <c r="G21" i="7" l="1"/>
  <c r="F21" s="1"/>
  <c r="E21" s="1"/>
  <c r="D21" s="1"/>
  <c r="G36"/>
  <c r="F36" s="1"/>
  <c r="E36" s="1"/>
  <c r="H46"/>
  <c r="G32"/>
  <c r="G19"/>
  <c r="F19" s="1"/>
  <c r="H47"/>
  <c r="G33"/>
  <c r="F20"/>
  <c r="E20" s="1"/>
  <c r="D20" s="1"/>
  <c r="C20" s="1"/>
  <c r="G48"/>
  <c r="F48" s="1"/>
  <c r="E48" s="1"/>
  <c r="D48" s="1"/>
  <c r="C48" s="1"/>
  <c r="O20" i="2"/>
  <c r="O18"/>
  <c r="O33"/>
  <c r="O16"/>
  <c r="O36"/>
  <c r="O10"/>
  <c r="O22"/>
  <c r="O30"/>
  <c r="O28"/>
  <c r="O29"/>
  <c r="O15"/>
  <c r="O27"/>
  <c r="O23"/>
  <c r="O12"/>
  <c r="O35"/>
  <c r="O7"/>
  <c r="I7"/>
  <c r="O26"/>
  <c r="O14"/>
  <c r="O21"/>
  <c r="O17"/>
  <c r="O8"/>
  <c r="O11"/>
  <c r="O32"/>
  <c r="O31"/>
  <c r="O19"/>
  <c r="O9"/>
  <c r="O37"/>
  <c r="O24"/>
  <c r="O13"/>
  <c r="O34"/>
  <c r="O25"/>
  <c r="I20"/>
  <c r="I18"/>
  <c r="I33"/>
  <c r="I16"/>
  <c r="I36"/>
  <c r="I10"/>
  <c r="I34"/>
  <c r="I25"/>
  <c r="I28"/>
  <c r="I15"/>
  <c r="I23"/>
  <c r="I35"/>
  <c r="I26"/>
  <c r="I21"/>
  <c r="I8"/>
  <c r="I32"/>
  <c r="K35" i="1"/>
  <c r="J34" s="1"/>
  <c r="K36"/>
  <c r="J35" s="1"/>
  <c r="I34" s="1"/>
  <c r="K4" i="2" s="1"/>
  <c r="J19" i="1"/>
  <c r="J18"/>
  <c r="I19" i="2"/>
  <c r="I9"/>
  <c r="I37"/>
  <c r="I24"/>
  <c r="I13"/>
  <c r="I22"/>
  <c r="I30"/>
  <c r="C36" i="1"/>
  <c r="C35"/>
  <c r="I29" i="2"/>
  <c r="I27"/>
  <c r="I12"/>
  <c r="I14"/>
  <c r="I17"/>
  <c r="I11"/>
  <c r="I31"/>
  <c r="G47" i="7" l="1"/>
  <c r="F47" s="1"/>
  <c r="E47" s="1"/>
  <c r="D47" s="1"/>
  <c r="C47" s="1"/>
  <c r="B47" s="1"/>
  <c r="F33"/>
  <c r="E33" s="1"/>
  <c r="G46"/>
  <c r="F32"/>
  <c r="E19"/>
  <c r="D19" s="1"/>
  <c r="C19" s="1"/>
  <c r="B19" s="1"/>
  <c r="F18"/>
  <c r="E18" s="1"/>
  <c r="D18" s="1"/>
  <c r="C18" s="1"/>
  <c r="B18" s="1"/>
  <c r="A18" s="1"/>
  <c r="F35"/>
  <c r="I18" i="1"/>
  <c r="D4" i="2" s="1"/>
  <c r="B35" i="1"/>
  <c r="B34"/>
  <c r="F21" i="2"/>
  <c r="F19"/>
  <c r="F25"/>
  <c r="F28"/>
  <c r="F34"/>
  <c r="F32"/>
  <c r="F7"/>
  <c r="F37"/>
  <c r="F35"/>
  <c r="F8"/>
  <c r="F14"/>
  <c r="F13"/>
  <c r="F11"/>
  <c r="F17"/>
  <c r="F15"/>
  <c r="F20"/>
  <c r="F10"/>
  <c r="F24"/>
  <c r="F30"/>
  <c r="F29"/>
  <c r="F27"/>
  <c r="F33"/>
  <c r="F31"/>
  <c r="F36"/>
  <c r="F26"/>
  <c r="F23"/>
  <c r="F9"/>
  <c r="F12"/>
  <c r="F18"/>
  <c r="F16"/>
  <c r="F22"/>
  <c r="E22"/>
  <c r="E26"/>
  <c r="E28"/>
  <c r="E30"/>
  <c r="E32"/>
  <c r="E18"/>
  <c r="E21"/>
  <c r="E35"/>
  <c r="E7"/>
  <c r="E25"/>
  <c r="E11"/>
  <c r="E13"/>
  <c r="E15"/>
  <c r="E17"/>
  <c r="E37"/>
  <c r="E34"/>
  <c r="E24"/>
  <c r="E27"/>
  <c r="E29"/>
  <c r="E31"/>
  <c r="E33"/>
  <c r="E36"/>
  <c r="E9"/>
  <c r="E23"/>
  <c r="E10"/>
  <c r="E12"/>
  <c r="E14"/>
  <c r="E16"/>
  <c r="E19"/>
  <c r="E8"/>
  <c r="E20"/>
  <c r="E35" i="7" l="1"/>
  <c r="D35" s="1"/>
  <c r="E34"/>
  <c r="D34" s="1"/>
  <c r="C34" s="1"/>
  <c r="F46"/>
  <c r="E32"/>
  <c r="Q8" i="2"/>
  <c r="K8"/>
  <c r="Q12"/>
  <c r="K12"/>
  <c r="Q36"/>
  <c r="K36"/>
  <c r="Q27"/>
  <c r="K27"/>
  <c r="Q17"/>
  <c r="K17"/>
  <c r="Q25"/>
  <c r="K25"/>
  <c r="Q35"/>
  <c r="K35"/>
  <c r="Q18"/>
  <c r="K18"/>
  <c r="Q26"/>
  <c r="K26"/>
  <c r="Q20"/>
  <c r="K20"/>
  <c r="Q19"/>
  <c r="K19"/>
  <c r="Q14"/>
  <c r="K14"/>
  <c r="Q10"/>
  <c r="K10"/>
  <c r="Q9"/>
  <c r="K9"/>
  <c r="Q33"/>
  <c r="K33"/>
  <c r="Q29"/>
  <c r="K29"/>
  <c r="Q24"/>
  <c r="K24"/>
  <c r="Q37"/>
  <c r="K37"/>
  <c r="Q15"/>
  <c r="K15"/>
  <c r="Q11"/>
  <c r="K11"/>
  <c r="Q7"/>
  <c r="K7"/>
  <c r="N7"/>
  <c r="Q21"/>
  <c r="K21"/>
  <c r="Q32"/>
  <c r="K32"/>
  <c r="Q28"/>
  <c r="K28"/>
  <c r="Q22"/>
  <c r="K22"/>
  <c r="Q16"/>
  <c r="K16"/>
  <c r="Q23"/>
  <c r="K23"/>
  <c r="Q31"/>
  <c r="K31"/>
  <c r="Q34"/>
  <c r="K34"/>
  <c r="Q13"/>
  <c r="K13"/>
  <c r="Q30"/>
  <c r="K30"/>
  <c r="A34" i="1"/>
  <c r="I4" i="2" s="1"/>
  <c r="N33"/>
  <c r="N8"/>
  <c r="N16"/>
  <c r="N23"/>
  <c r="N31"/>
  <c r="N34"/>
  <c r="N13"/>
  <c r="N35"/>
  <c r="N30"/>
  <c r="M22"/>
  <c r="M9"/>
  <c r="M31"/>
  <c r="M30"/>
  <c r="M15"/>
  <c r="M14"/>
  <c r="M7"/>
  <c r="M25"/>
  <c r="N10"/>
  <c r="N15"/>
  <c r="N32"/>
  <c r="N22"/>
  <c r="M12"/>
  <c r="M36"/>
  <c r="M29"/>
  <c r="M20"/>
  <c r="M13"/>
  <c r="M37"/>
  <c r="M28"/>
  <c r="D18"/>
  <c r="D34"/>
  <c r="D17"/>
  <c r="D33"/>
  <c r="D16"/>
  <c r="D32"/>
  <c r="D19"/>
  <c r="D35"/>
  <c r="D14"/>
  <c r="D30"/>
  <c r="D13"/>
  <c r="D29"/>
  <c r="D12"/>
  <c r="D28"/>
  <c r="D15"/>
  <c r="D31"/>
  <c r="D10"/>
  <c r="L10" s="1"/>
  <c r="D26"/>
  <c r="D9"/>
  <c r="D25"/>
  <c r="D8"/>
  <c r="D24"/>
  <c r="D11"/>
  <c r="D27"/>
  <c r="D22"/>
  <c r="D7"/>
  <c r="D21"/>
  <c r="D37"/>
  <c r="D20"/>
  <c r="D36"/>
  <c r="D23"/>
  <c r="N12"/>
  <c r="N27"/>
  <c r="N17"/>
  <c r="N25"/>
  <c r="N18"/>
  <c r="N26"/>
  <c r="M18"/>
  <c r="L18"/>
  <c r="M26"/>
  <c r="M27"/>
  <c r="M10"/>
  <c r="M11"/>
  <c r="M35"/>
  <c r="L35"/>
  <c r="L34"/>
  <c r="M34"/>
  <c r="M21"/>
  <c r="N19"/>
  <c r="N24"/>
  <c r="N36"/>
  <c r="N20"/>
  <c r="N14"/>
  <c r="N9"/>
  <c r="N29"/>
  <c r="N37"/>
  <c r="N11"/>
  <c r="N21"/>
  <c r="N28"/>
  <c r="M16"/>
  <c r="L16"/>
  <c r="M23"/>
  <c r="L33"/>
  <c r="M33"/>
  <c r="M24"/>
  <c r="M17"/>
  <c r="L17"/>
  <c r="M8"/>
  <c r="L8"/>
  <c r="M32"/>
  <c r="L32"/>
  <c r="M19"/>
  <c r="L19"/>
  <c r="E46" i="7" l="1"/>
  <c r="D32"/>
  <c r="D33"/>
  <c r="C33" s="1"/>
  <c r="B33" s="1"/>
  <c r="J36" i="2"/>
  <c r="P36"/>
  <c r="J37"/>
  <c r="P37"/>
  <c r="J7"/>
  <c r="P7"/>
  <c r="J27"/>
  <c r="P27"/>
  <c r="J24"/>
  <c r="P24"/>
  <c r="J25"/>
  <c r="P25"/>
  <c r="J26"/>
  <c r="P26"/>
  <c r="J31"/>
  <c r="P31"/>
  <c r="J28"/>
  <c r="P28"/>
  <c r="J29"/>
  <c r="P29"/>
  <c r="J30"/>
  <c r="P30"/>
  <c r="J35"/>
  <c r="P35"/>
  <c r="J32"/>
  <c r="P32"/>
  <c r="J33"/>
  <c r="P33"/>
  <c r="J34"/>
  <c r="P34"/>
  <c r="J23"/>
  <c r="P23"/>
  <c r="J20"/>
  <c r="P20"/>
  <c r="J21"/>
  <c r="P21"/>
  <c r="J22"/>
  <c r="P22"/>
  <c r="J11"/>
  <c r="P11"/>
  <c r="J8"/>
  <c r="P8"/>
  <c r="J9"/>
  <c r="P9"/>
  <c r="J10"/>
  <c r="P10"/>
  <c r="J15"/>
  <c r="P15"/>
  <c r="J12"/>
  <c r="P12"/>
  <c r="J13"/>
  <c r="P13"/>
  <c r="J14"/>
  <c r="P14"/>
  <c r="J19"/>
  <c r="P19"/>
  <c r="J16"/>
  <c r="P16"/>
  <c r="J17"/>
  <c r="P17"/>
  <c r="J18"/>
  <c r="P18"/>
  <c r="L7"/>
  <c r="L26"/>
  <c r="L24"/>
  <c r="L23"/>
  <c r="L21"/>
  <c r="L11"/>
  <c r="L28"/>
  <c r="L13"/>
  <c r="L29"/>
  <c r="L12"/>
  <c r="L25"/>
  <c r="L14"/>
  <c r="L9"/>
  <c r="L30"/>
  <c r="L27"/>
  <c r="L37"/>
  <c r="L20"/>
  <c r="L36"/>
  <c r="L15"/>
  <c r="L31"/>
  <c r="L22"/>
  <c r="D46" i="7" l="1"/>
  <c r="C46" s="1"/>
  <c r="B46" s="1"/>
  <c r="C32"/>
  <c r="B32" s="1"/>
  <c r="A32" s="1"/>
  <c r="A46" l="1"/>
  <c r="A33"/>
</calcChain>
</file>

<file path=xl/sharedStrings.xml><?xml version="1.0" encoding="utf-8"?>
<sst xmlns="http://schemas.openxmlformats.org/spreadsheetml/2006/main" count="148" uniqueCount="83">
  <si>
    <t>u</t>
  </si>
  <si>
    <t>d</t>
  </si>
  <si>
    <t>S</t>
  </si>
  <si>
    <r>
      <t>K</t>
    </r>
    <r>
      <rPr>
        <vertAlign val="subscript"/>
        <sz val="10"/>
        <color indexed="10"/>
        <rFont val="Times New Roman"/>
        <family val="1"/>
      </rPr>
      <t>1</t>
    </r>
  </si>
  <si>
    <r>
      <t>K</t>
    </r>
    <r>
      <rPr>
        <vertAlign val="subscript"/>
        <sz val="10"/>
        <color indexed="10"/>
        <rFont val="Times New Roman"/>
        <family val="1"/>
      </rPr>
      <t>2</t>
    </r>
  </si>
  <si>
    <t xml:space="preserve"> </t>
  </si>
  <si>
    <t>Discount</t>
  </si>
  <si>
    <t>R</t>
  </si>
  <si>
    <t>q</t>
  </si>
  <si>
    <t>sigma</t>
  </si>
  <si>
    <t xml:space="preserve">T </t>
  </si>
  <si>
    <r>
      <t>K</t>
    </r>
    <r>
      <rPr>
        <vertAlign val="subscript"/>
        <sz val="10"/>
        <rFont val="Arial"/>
        <family val="2"/>
      </rPr>
      <t>1</t>
    </r>
  </si>
  <si>
    <r>
      <t>P</t>
    </r>
    <r>
      <rPr>
        <vertAlign val="subscript"/>
        <sz val="11"/>
        <color theme="1"/>
        <rFont val="Calibri"/>
        <family val="2"/>
        <scheme val="minor"/>
      </rPr>
      <t>1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</si>
  <si>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</si>
  <si>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r>
      <t>P</t>
    </r>
    <r>
      <rPr>
        <vertAlign val="subscript"/>
        <sz val="11"/>
        <color theme="1"/>
        <rFont val="Calibri"/>
        <family val="2"/>
        <scheme val="minor"/>
      </rPr>
      <t>2</t>
    </r>
  </si>
  <si>
    <t>Cov'd call</t>
  </si>
  <si>
    <t>Protv put</t>
  </si>
  <si>
    <t>Bull Sprd</t>
  </si>
  <si>
    <t>Bear Sprd</t>
  </si>
  <si>
    <t>Stock</t>
  </si>
  <si>
    <t>Call K1</t>
  </si>
  <si>
    <t>Put K1</t>
  </si>
  <si>
    <t>Call K2</t>
  </si>
  <si>
    <t>Put K2</t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</si>
  <si>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</si>
  <si>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</si>
  <si>
    <t xml:space="preserve">Collar </t>
  </si>
  <si>
    <r>
      <t>K</t>
    </r>
    <r>
      <rPr>
        <vertAlign val="subscript"/>
        <sz val="10"/>
        <color indexed="10"/>
        <rFont val="Times New Roman"/>
        <family val="1"/>
      </rPr>
      <t>3</t>
    </r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</si>
  <si>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</si>
  <si>
    <t>Call K3</t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</si>
  <si>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</si>
  <si>
    <t>THREE</t>
  </si>
  <si>
    <t>CALLS</t>
  </si>
  <si>
    <t>TWO</t>
  </si>
  <si>
    <t>PUTS</t>
  </si>
  <si>
    <t>Butterfly</t>
  </si>
  <si>
    <t>CALL PARAMETERS</t>
  </si>
  <si>
    <t>PUT PARAMETERS</t>
  </si>
  <si>
    <r>
      <t>CALL K</t>
    </r>
    <r>
      <rPr>
        <b/>
        <vertAlign val="subscript"/>
        <sz val="10"/>
        <rFont val="Arial"/>
        <family val="2"/>
      </rPr>
      <t>1</t>
    </r>
  </si>
  <si>
    <r>
      <t>CALL K</t>
    </r>
    <r>
      <rPr>
        <b/>
        <vertAlign val="subscript"/>
        <sz val="10"/>
        <rFont val="Arial"/>
        <family val="2"/>
      </rPr>
      <t>2</t>
    </r>
  </si>
  <si>
    <r>
      <t>CALL K</t>
    </r>
    <r>
      <rPr>
        <b/>
        <vertAlign val="subscript"/>
        <sz val="10"/>
        <rFont val="Arial"/>
        <family val="2"/>
      </rPr>
      <t>3</t>
    </r>
  </si>
  <si>
    <r>
      <t>PUT K</t>
    </r>
    <r>
      <rPr>
        <b/>
        <vertAlign val="subscript"/>
        <sz val="10"/>
        <rFont val="Arial"/>
        <family val="2"/>
      </rPr>
      <t>1</t>
    </r>
  </si>
  <si>
    <r>
      <t>PUT K</t>
    </r>
    <r>
      <rPr>
        <b/>
        <vertAlign val="subscript"/>
        <sz val="10"/>
        <rFont val="Arial"/>
        <family val="2"/>
      </rPr>
      <t>2</t>
    </r>
  </si>
  <si>
    <t>STOCK PRICES</t>
  </si>
  <si>
    <t>Synth put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</si>
  <si>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</si>
  <si>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K</t>
  </si>
  <si>
    <t>r</t>
  </si>
  <si>
    <t>σ</t>
  </si>
  <si>
    <t>T</t>
  </si>
  <si>
    <r>
      <t>d</t>
    </r>
    <r>
      <rPr>
        <vertAlign val="subscript"/>
        <sz val="11"/>
        <color theme="1"/>
        <rFont val="Calibri"/>
        <family val="2"/>
        <scheme val="minor"/>
      </rPr>
      <t>1</t>
    </r>
  </si>
  <si>
    <r>
      <t>d</t>
    </r>
    <r>
      <rPr>
        <vertAlign val="subscript"/>
        <sz val="11"/>
        <color theme="1"/>
        <rFont val="Calibri"/>
        <family val="2"/>
        <scheme val="minor"/>
      </rPr>
      <t>2</t>
    </r>
  </si>
  <si>
    <t>Call</t>
  </si>
  <si>
    <t>Put</t>
  </si>
  <si>
    <t>BLACK-SCHOLES</t>
  </si>
  <si>
    <t xml:space="preserve">∆ call </t>
  </si>
  <si>
    <t>∆ put</t>
  </si>
  <si>
    <t>Γ</t>
  </si>
  <si>
    <t>Strangle</t>
  </si>
  <si>
    <t xml:space="preserve">Straddle </t>
  </si>
  <si>
    <t>C</t>
  </si>
  <si>
    <t>P</t>
  </si>
  <si>
    <t xml:space="preserve">  </t>
  </si>
  <si>
    <t xml:space="preserve">Figure 16.10: Call Option Value </t>
  </si>
  <si>
    <t>Figure 16.9: Multiperiod Stock Dynamic</t>
  </si>
  <si>
    <t xml:space="preserve">d1 </t>
  </si>
  <si>
    <t>d2</t>
  </si>
  <si>
    <t>Black-Scholes</t>
  </si>
  <si>
    <t>N(d1)</t>
  </si>
  <si>
    <t xml:space="preserve">N(d2) </t>
  </si>
  <si>
    <t>MISC 1</t>
  </si>
  <si>
    <t>CALL VALUE</t>
  </si>
  <si>
    <t>STOCK VALUE</t>
  </si>
  <si>
    <t xml:space="preserve">Figure 16.11:  Five Month Put Option Value </t>
  </si>
  <si>
    <t>Put Value</t>
  </si>
  <si>
    <t>Stock Value</t>
  </si>
  <si>
    <t>Figure16.20:  Mine Lease</t>
  </si>
  <si>
    <t>NOT FIGURE 16.20</t>
  </si>
  <si>
    <t>R=1+r</t>
  </si>
  <si>
    <t>MILLION</t>
  </si>
  <si>
    <t>Figure 16.21:  Enhanced Mine</t>
  </si>
  <si>
    <t>NET VALUE</t>
  </si>
  <si>
    <t>Figure 16.22: Real Option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</si>
</sst>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vertAlign val="subscript"/>
      <sz val="10"/>
      <color indexed="10"/>
      <name val="Times New Roman"/>
      <family val="1"/>
    </font>
    <font>
      <vertAlign val="subscript"/>
      <sz val="10"/>
      <name val="Arial"/>
      <family val="2"/>
    </font>
    <font>
      <vertAlign val="subscript"/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0"/>
      <color rgb="FFFF000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2" fillId="0" borderId="0" xfId="1" applyFont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2" fillId="0" borderId="1" xfId="1" applyFont="1" applyBorder="1" applyAlignment="1">
      <alignment horizontal="center"/>
    </xf>
    <xf numFmtId="0" fontId="1" fillId="2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0" borderId="0" xfId="1" applyNumberFormat="1" applyAlignment="1">
      <alignment horizontal="center"/>
    </xf>
    <xf numFmtId="2" fontId="1" fillId="0" borderId="0" xfId="1" applyNumberFormat="1"/>
    <xf numFmtId="2" fontId="1" fillId="3" borderId="0" xfId="1" applyNumberFormat="1" applyFill="1" applyAlignment="1">
      <alignment horizontal="center"/>
    </xf>
    <xf numFmtId="0" fontId="2" fillId="0" borderId="0" xfId="1" applyFont="1" applyBorder="1" applyAlignment="1">
      <alignment horizontal="center"/>
    </xf>
    <xf numFmtId="2" fontId="8" fillId="0" borderId="0" xfId="1" applyNumberFormat="1" applyFont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0" fontId="10" fillId="0" borderId="0" xfId="0" applyFont="1"/>
    <xf numFmtId="0" fontId="1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12" fillId="0" borderId="0" xfId="0" applyFont="1"/>
    <xf numFmtId="2" fontId="0" fillId="0" borderId="0" xfId="0" applyNumberFormat="1"/>
    <xf numFmtId="0" fontId="15" fillId="0" borderId="0" xfId="0" applyFont="1" applyAlignment="1">
      <alignment horizontal="center"/>
    </xf>
    <xf numFmtId="164" fontId="13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2" fontId="16" fillId="0" borderId="0" xfId="0" applyNumberFormat="1" applyFont="1" applyAlignment="1">
      <alignment horizontal="left"/>
    </xf>
    <xf numFmtId="2" fontId="2" fillId="2" borderId="0" xfId="0" applyNumberFormat="1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17" fillId="0" borderId="0" xfId="0" applyFont="1" applyAlignment="1">
      <alignment horizontal="left"/>
    </xf>
    <xf numFmtId="0" fontId="2" fillId="0" borderId="6" xfId="0" applyFont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2" fontId="19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0" xfId="0" applyFont="1"/>
    <xf numFmtId="165" fontId="2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left"/>
    </xf>
    <xf numFmtId="165" fontId="2" fillId="0" borderId="8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9" fillId="0" borderId="12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2" fontId="2" fillId="5" borderId="0" xfId="0" applyNumberFormat="1" applyFont="1" applyFill="1" applyAlignment="1">
      <alignment horizontal="center"/>
    </xf>
    <xf numFmtId="165" fontId="19" fillId="0" borderId="14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165" fontId="19" fillId="0" borderId="15" xfId="0" applyNumberFormat="1" applyFont="1" applyBorder="1" applyAlignment="1">
      <alignment horizontal="center"/>
    </xf>
    <xf numFmtId="165" fontId="2" fillId="0" borderId="15" xfId="0" applyNumberFormat="1" applyFont="1" applyBorder="1" applyAlignment="1">
      <alignment horizontal="center"/>
    </xf>
    <xf numFmtId="2" fontId="2" fillId="5" borderId="0" xfId="0" applyNumberFormat="1" applyFont="1" applyFill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165" fontId="2" fillId="0" borderId="17" xfId="0" applyNumberFormat="1" applyFont="1" applyBorder="1" applyAlignment="1">
      <alignment horizontal="center"/>
    </xf>
    <xf numFmtId="165" fontId="2" fillId="0" borderId="1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2" fontId="20" fillId="0" borderId="0" xfId="0" applyNumberFormat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Figure 16.12:  Covered Call 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Strategy!$B$6</c:f>
              <c:strCache>
                <c:ptCount val="1"/>
                <c:pt idx="0">
                  <c:v>Stock</c:v>
                </c:pt>
              </c:strCache>
            </c:strRef>
          </c:tx>
          <c:marker>
            <c:symbol val="none"/>
          </c:marker>
          <c:xVal>
            <c:numRef>
              <c:f>Strategy!$A$7:$A$37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Strategy!$B$7:$B$37</c:f>
              <c:numCache>
                <c:formatCode>General</c:formatCode>
                <c:ptCount val="3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Strategy!$C$6</c:f>
              <c:strCache>
                <c:ptCount val="1"/>
                <c:pt idx="0">
                  <c:v>Call K1</c:v>
                </c:pt>
              </c:strCache>
            </c:strRef>
          </c:tx>
          <c:marker>
            <c:symbol val="none"/>
          </c:marker>
          <c:xVal>
            <c:numRef>
              <c:f>Strategy!$A$7:$A$37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Strategy!$C$7:$C$37</c:f>
              <c:numCache>
                <c:formatCode>0.00</c:formatCode>
                <c:ptCount val="31"/>
                <c:pt idx="0">
                  <c:v>-13.443767695943496</c:v>
                </c:pt>
                <c:pt idx="1">
                  <c:v>-13.443767695943496</c:v>
                </c:pt>
                <c:pt idx="2">
                  <c:v>-13.443767695943496</c:v>
                </c:pt>
                <c:pt idx="3">
                  <c:v>-13.443767695943496</c:v>
                </c:pt>
                <c:pt idx="4">
                  <c:v>-13.443767695943496</c:v>
                </c:pt>
                <c:pt idx="5">
                  <c:v>-13.443767695943496</c:v>
                </c:pt>
                <c:pt idx="6">
                  <c:v>-13.443767695943496</c:v>
                </c:pt>
                <c:pt idx="7">
                  <c:v>-13.443767695943496</c:v>
                </c:pt>
                <c:pt idx="8">
                  <c:v>-13.443767695943496</c:v>
                </c:pt>
                <c:pt idx="9">
                  <c:v>-13.443767695943496</c:v>
                </c:pt>
                <c:pt idx="10">
                  <c:v>-13.443767695943496</c:v>
                </c:pt>
                <c:pt idx="11">
                  <c:v>-13.443767695943496</c:v>
                </c:pt>
                <c:pt idx="12">
                  <c:v>-13.443767695943496</c:v>
                </c:pt>
                <c:pt idx="13">
                  <c:v>-13.443767695943496</c:v>
                </c:pt>
                <c:pt idx="14">
                  <c:v>-13.443767695943496</c:v>
                </c:pt>
                <c:pt idx="15">
                  <c:v>-13.443767695943496</c:v>
                </c:pt>
                <c:pt idx="16">
                  <c:v>-13.443767695943496</c:v>
                </c:pt>
                <c:pt idx="17">
                  <c:v>-13.443767695943496</c:v>
                </c:pt>
                <c:pt idx="18">
                  <c:v>-13.443767695943496</c:v>
                </c:pt>
                <c:pt idx="19">
                  <c:v>-8.443767695943496</c:v>
                </c:pt>
                <c:pt idx="20">
                  <c:v>-3.443767695943496</c:v>
                </c:pt>
                <c:pt idx="21">
                  <c:v>1.556232304056504</c:v>
                </c:pt>
                <c:pt idx="22">
                  <c:v>6.556232304056504</c:v>
                </c:pt>
                <c:pt idx="23">
                  <c:v>11.556232304056504</c:v>
                </c:pt>
                <c:pt idx="24">
                  <c:v>16.556232304056504</c:v>
                </c:pt>
                <c:pt idx="25">
                  <c:v>21.556232304056504</c:v>
                </c:pt>
                <c:pt idx="26">
                  <c:v>26.556232304056504</c:v>
                </c:pt>
                <c:pt idx="27">
                  <c:v>31.556232304056504</c:v>
                </c:pt>
                <c:pt idx="28">
                  <c:v>36.556232304056508</c:v>
                </c:pt>
                <c:pt idx="29">
                  <c:v>41.556232304056508</c:v>
                </c:pt>
                <c:pt idx="30">
                  <c:v>46.556232304056508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Strategy!$I$6</c:f>
              <c:strCache>
                <c:ptCount val="1"/>
                <c:pt idx="0">
                  <c:v>Cov'd call</c:v>
                </c:pt>
              </c:strCache>
            </c:strRef>
          </c:tx>
          <c:marker>
            <c:symbol val="none"/>
          </c:marker>
          <c:xVal>
            <c:numRef>
              <c:f>Strategy!$A$7:$A$37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Strategy!$I$7:$I$37</c:f>
              <c:numCache>
                <c:formatCode>0.00</c:formatCode>
                <c:ptCount val="31"/>
                <c:pt idx="0">
                  <c:v>-86.556232304056508</c:v>
                </c:pt>
                <c:pt idx="1">
                  <c:v>-81.556232304056508</c:v>
                </c:pt>
                <c:pt idx="2">
                  <c:v>-76.556232304056508</c:v>
                </c:pt>
                <c:pt idx="3">
                  <c:v>-71.556232304056508</c:v>
                </c:pt>
                <c:pt idx="4">
                  <c:v>-66.556232304056508</c:v>
                </c:pt>
                <c:pt idx="5">
                  <c:v>-61.556232304056508</c:v>
                </c:pt>
                <c:pt idx="6">
                  <c:v>-56.556232304056508</c:v>
                </c:pt>
                <c:pt idx="7">
                  <c:v>-51.556232304056508</c:v>
                </c:pt>
                <c:pt idx="8">
                  <c:v>-46.556232304056508</c:v>
                </c:pt>
                <c:pt idx="9">
                  <c:v>-41.556232304056508</c:v>
                </c:pt>
                <c:pt idx="10">
                  <c:v>-36.556232304056508</c:v>
                </c:pt>
                <c:pt idx="11">
                  <c:v>-31.556232304056504</c:v>
                </c:pt>
                <c:pt idx="12">
                  <c:v>-26.556232304056504</c:v>
                </c:pt>
                <c:pt idx="13">
                  <c:v>-21.556232304056504</c:v>
                </c:pt>
                <c:pt idx="14">
                  <c:v>-16.556232304056504</c:v>
                </c:pt>
                <c:pt idx="15">
                  <c:v>-11.556232304056504</c:v>
                </c:pt>
                <c:pt idx="16">
                  <c:v>-6.556232304056504</c:v>
                </c:pt>
                <c:pt idx="17">
                  <c:v>-1.556232304056504</c:v>
                </c:pt>
                <c:pt idx="18">
                  <c:v>3.443767695943496</c:v>
                </c:pt>
                <c:pt idx="19">
                  <c:v>3.443767695943496</c:v>
                </c:pt>
                <c:pt idx="20">
                  <c:v>3.443767695943496</c:v>
                </c:pt>
                <c:pt idx="21">
                  <c:v>3.443767695943496</c:v>
                </c:pt>
                <c:pt idx="22">
                  <c:v>3.443767695943496</c:v>
                </c:pt>
                <c:pt idx="23">
                  <c:v>3.443767695943496</c:v>
                </c:pt>
                <c:pt idx="24">
                  <c:v>3.443767695943496</c:v>
                </c:pt>
                <c:pt idx="25">
                  <c:v>3.443767695943496</c:v>
                </c:pt>
                <c:pt idx="26">
                  <c:v>3.443767695943496</c:v>
                </c:pt>
                <c:pt idx="27">
                  <c:v>3.443767695943496</c:v>
                </c:pt>
                <c:pt idx="28">
                  <c:v>3.4437676959434924</c:v>
                </c:pt>
                <c:pt idx="29">
                  <c:v>3.4437676959434924</c:v>
                </c:pt>
                <c:pt idx="30">
                  <c:v>3.4437676959434924</c:v>
                </c:pt>
              </c:numCache>
            </c:numRef>
          </c:yVal>
          <c:smooth val="1"/>
        </c:ser>
        <c:axId val="95451776"/>
        <c:axId val="91996544"/>
      </c:scatterChart>
      <c:valAx>
        <c:axId val="95451776"/>
        <c:scaling>
          <c:orientation val="minMax"/>
        </c:scaling>
        <c:axPos val="b"/>
        <c:numFmt formatCode="General" sourceLinked="1"/>
        <c:tickLblPos val="nextTo"/>
        <c:crossAx val="91996544"/>
        <c:crosses val="autoZero"/>
        <c:crossBetween val="midCat"/>
      </c:valAx>
      <c:valAx>
        <c:axId val="91996544"/>
        <c:scaling>
          <c:orientation val="minMax"/>
        </c:scaling>
        <c:axPos val="l"/>
        <c:majorGridlines/>
        <c:numFmt formatCode="General" sourceLinked="1"/>
        <c:tickLblPos val="nextTo"/>
        <c:crossAx val="95451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Figure 16.13:  Protective Put 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Strategy!$B$6</c:f>
              <c:strCache>
                <c:ptCount val="1"/>
                <c:pt idx="0">
                  <c:v>Stock</c:v>
                </c:pt>
              </c:strCache>
            </c:strRef>
          </c:tx>
          <c:marker>
            <c:symbol val="none"/>
          </c:marker>
          <c:xVal>
            <c:numRef>
              <c:f>Strategy!$A$7:$A$37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Strategy!$B$7:$B$37</c:f>
              <c:numCache>
                <c:formatCode>General</c:formatCode>
                <c:ptCount val="3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Strategy!$D$6</c:f>
              <c:strCache>
                <c:ptCount val="1"/>
                <c:pt idx="0">
                  <c:v>Put K1</c:v>
                </c:pt>
              </c:strCache>
            </c:strRef>
          </c:tx>
          <c:marker>
            <c:symbol val="none"/>
          </c:marker>
          <c:xVal>
            <c:numRef>
              <c:f>Strategy!$A$7:$A$37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Strategy!$D$7:$D$37</c:f>
              <c:numCache>
                <c:formatCode>0.00</c:formatCode>
                <c:ptCount val="31"/>
                <c:pt idx="0">
                  <c:v>92.290688274503196</c:v>
                </c:pt>
                <c:pt idx="1">
                  <c:v>87.290688274503196</c:v>
                </c:pt>
                <c:pt idx="2">
                  <c:v>82.290688274503196</c:v>
                </c:pt>
                <c:pt idx="3">
                  <c:v>77.290688274503196</c:v>
                </c:pt>
                <c:pt idx="4">
                  <c:v>72.290688274503196</c:v>
                </c:pt>
                <c:pt idx="5">
                  <c:v>67.290688274503196</c:v>
                </c:pt>
                <c:pt idx="6">
                  <c:v>62.290688274503196</c:v>
                </c:pt>
                <c:pt idx="7">
                  <c:v>57.290688274503196</c:v>
                </c:pt>
                <c:pt idx="8">
                  <c:v>52.290688274503196</c:v>
                </c:pt>
                <c:pt idx="9">
                  <c:v>47.290688274503196</c:v>
                </c:pt>
                <c:pt idx="10">
                  <c:v>42.290688274503196</c:v>
                </c:pt>
                <c:pt idx="11">
                  <c:v>37.290688274503196</c:v>
                </c:pt>
                <c:pt idx="12">
                  <c:v>32.290688274503196</c:v>
                </c:pt>
                <c:pt idx="13">
                  <c:v>27.290688274503196</c:v>
                </c:pt>
                <c:pt idx="14">
                  <c:v>22.290688274503196</c:v>
                </c:pt>
                <c:pt idx="15">
                  <c:v>17.290688274503196</c:v>
                </c:pt>
                <c:pt idx="16">
                  <c:v>12.290688274503195</c:v>
                </c:pt>
                <c:pt idx="17">
                  <c:v>7.2906882745031947</c:v>
                </c:pt>
                <c:pt idx="18">
                  <c:v>2.2906882745031951</c:v>
                </c:pt>
                <c:pt idx="19">
                  <c:v>-2.7093117254968049</c:v>
                </c:pt>
                <c:pt idx="20">
                  <c:v>-2.7093117254968049</c:v>
                </c:pt>
                <c:pt idx="21">
                  <c:v>-2.7093117254968049</c:v>
                </c:pt>
                <c:pt idx="22">
                  <c:v>-2.7093117254968049</c:v>
                </c:pt>
                <c:pt idx="23">
                  <c:v>-2.7093117254968049</c:v>
                </c:pt>
                <c:pt idx="24">
                  <c:v>-2.7093117254968049</c:v>
                </c:pt>
                <c:pt idx="25">
                  <c:v>-2.7093117254968049</c:v>
                </c:pt>
                <c:pt idx="26">
                  <c:v>-2.7093117254968049</c:v>
                </c:pt>
                <c:pt idx="27">
                  <c:v>-2.7093117254968049</c:v>
                </c:pt>
                <c:pt idx="28">
                  <c:v>-2.7093117254968049</c:v>
                </c:pt>
                <c:pt idx="29">
                  <c:v>-2.7093117254968049</c:v>
                </c:pt>
                <c:pt idx="30">
                  <c:v>-2.7093117254968049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Strategy!$J$6</c:f>
              <c:strCache>
                <c:ptCount val="1"/>
                <c:pt idx="0">
                  <c:v>Protv put</c:v>
                </c:pt>
              </c:strCache>
            </c:strRef>
          </c:tx>
          <c:marker>
            <c:symbol val="none"/>
          </c:marker>
          <c:xVal>
            <c:numRef>
              <c:f>Strategy!$A$7:$A$37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Strategy!$J$7:$J$37</c:f>
              <c:numCache>
                <c:formatCode>0.00</c:formatCode>
                <c:ptCount val="31"/>
                <c:pt idx="0">
                  <c:v>-7.7093117254968035</c:v>
                </c:pt>
                <c:pt idx="1">
                  <c:v>-7.7093117254968035</c:v>
                </c:pt>
                <c:pt idx="2">
                  <c:v>-7.7093117254968035</c:v>
                </c:pt>
                <c:pt idx="3">
                  <c:v>-7.7093117254968035</c:v>
                </c:pt>
                <c:pt idx="4">
                  <c:v>-7.7093117254968035</c:v>
                </c:pt>
                <c:pt idx="5">
                  <c:v>-7.7093117254968035</c:v>
                </c:pt>
                <c:pt idx="6">
                  <c:v>-7.7093117254968035</c:v>
                </c:pt>
                <c:pt idx="7">
                  <c:v>-7.7093117254968035</c:v>
                </c:pt>
                <c:pt idx="8">
                  <c:v>-7.7093117254968035</c:v>
                </c:pt>
                <c:pt idx="9">
                  <c:v>-7.7093117254968035</c:v>
                </c:pt>
                <c:pt idx="10">
                  <c:v>-7.7093117254968035</c:v>
                </c:pt>
                <c:pt idx="11">
                  <c:v>-7.7093117254968035</c:v>
                </c:pt>
                <c:pt idx="12">
                  <c:v>-7.7093117254968035</c:v>
                </c:pt>
                <c:pt idx="13">
                  <c:v>-7.7093117254968035</c:v>
                </c:pt>
                <c:pt idx="14">
                  <c:v>-7.7093117254968035</c:v>
                </c:pt>
                <c:pt idx="15">
                  <c:v>-7.7093117254968035</c:v>
                </c:pt>
                <c:pt idx="16">
                  <c:v>-7.7093117254968053</c:v>
                </c:pt>
                <c:pt idx="17">
                  <c:v>-7.7093117254968053</c:v>
                </c:pt>
                <c:pt idx="18">
                  <c:v>-7.7093117254968053</c:v>
                </c:pt>
                <c:pt idx="19">
                  <c:v>-7.7093117254968053</c:v>
                </c:pt>
                <c:pt idx="20">
                  <c:v>-2.7093117254968049</c:v>
                </c:pt>
                <c:pt idx="21">
                  <c:v>2.2906882745031951</c:v>
                </c:pt>
                <c:pt idx="22">
                  <c:v>7.2906882745031947</c:v>
                </c:pt>
                <c:pt idx="23">
                  <c:v>12.290688274503195</c:v>
                </c:pt>
                <c:pt idx="24">
                  <c:v>17.290688274503196</c:v>
                </c:pt>
                <c:pt idx="25">
                  <c:v>22.290688274503196</c:v>
                </c:pt>
                <c:pt idx="26">
                  <c:v>27.290688274503196</c:v>
                </c:pt>
                <c:pt idx="27">
                  <c:v>32.290688274503196</c:v>
                </c:pt>
                <c:pt idx="28">
                  <c:v>37.290688274503196</c:v>
                </c:pt>
                <c:pt idx="29">
                  <c:v>42.290688274503196</c:v>
                </c:pt>
                <c:pt idx="30">
                  <c:v>47.290688274503196</c:v>
                </c:pt>
              </c:numCache>
            </c:numRef>
          </c:yVal>
          <c:smooth val="1"/>
        </c:ser>
        <c:axId val="92079616"/>
        <c:axId val="92081152"/>
      </c:scatterChart>
      <c:valAx>
        <c:axId val="92079616"/>
        <c:scaling>
          <c:orientation val="minMax"/>
        </c:scaling>
        <c:axPos val="b"/>
        <c:numFmt formatCode="General" sourceLinked="1"/>
        <c:tickLblPos val="nextTo"/>
        <c:crossAx val="92081152"/>
        <c:crosses val="autoZero"/>
        <c:crossBetween val="midCat"/>
      </c:valAx>
      <c:valAx>
        <c:axId val="92081152"/>
        <c:scaling>
          <c:orientation val="minMax"/>
        </c:scaling>
        <c:axPos val="l"/>
        <c:majorGridlines/>
        <c:numFmt formatCode="General" sourceLinked="1"/>
        <c:tickLblPos val="nextTo"/>
        <c:crossAx val="92079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Figure 16.14:  Bull Spread 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Strategy!$C$6</c:f>
              <c:strCache>
                <c:ptCount val="1"/>
                <c:pt idx="0">
                  <c:v>Call K1</c:v>
                </c:pt>
              </c:strCache>
            </c:strRef>
          </c:tx>
          <c:marker>
            <c:symbol val="none"/>
          </c:marker>
          <c:xVal>
            <c:numRef>
              <c:f>Strategy!$B$7:$B$37</c:f>
              <c:numCache>
                <c:formatCode>General</c:formatCode>
                <c:ptCount val="3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</c:numCache>
            </c:numRef>
          </c:xVal>
          <c:yVal>
            <c:numRef>
              <c:f>Strategy!$C$7:$C$37</c:f>
              <c:numCache>
                <c:formatCode>0.00</c:formatCode>
                <c:ptCount val="31"/>
                <c:pt idx="0">
                  <c:v>-13.443767695943496</c:v>
                </c:pt>
                <c:pt idx="1">
                  <c:v>-13.443767695943496</c:v>
                </c:pt>
                <c:pt idx="2">
                  <c:v>-13.443767695943496</c:v>
                </c:pt>
                <c:pt idx="3">
                  <c:v>-13.443767695943496</c:v>
                </c:pt>
                <c:pt idx="4">
                  <c:v>-13.443767695943496</c:v>
                </c:pt>
                <c:pt idx="5">
                  <c:v>-13.443767695943496</c:v>
                </c:pt>
                <c:pt idx="6">
                  <c:v>-13.443767695943496</c:v>
                </c:pt>
                <c:pt idx="7">
                  <c:v>-13.443767695943496</c:v>
                </c:pt>
                <c:pt idx="8">
                  <c:v>-13.443767695943496</c:v>
                </c:pt>
                <c:pt idx="9">
                  <c:v>-13.443767695943496</c:v>
                </c:pt>
                <c:pt idx="10">
                  <c:v>-13.443767695943496</c:v>
                </c:pt>
                <c:pt idx="11">
                  <c:v>-13.443767695943496</c:v>
                </c:pt>
                <c:pt idx="12">
                  <c:v>-13.443767695943496</c:v>
                </c:pt>
                <c:pt idx="13">
                  <c:v>-13.443767695943496</c:v>
                </c:pt>
                <c:pt idx="14">
                  <c:v>-13.443767695943496</c:v>
                </c:pt>
                <c:pt idx="15">
                  <c:v>-13.443767695943496</c:v>
                </c:pt>
                <c:pt idx="16">
                  <c:v>-13.443767695943496</c:v>
                </c:pt>
                <c:pt idx="17">
                  <c:v>-13.443767695943496</c:v>
                </c:pt>
                <c:pt idx="18">
                  <c:v>-13.443767695943496</c:v>
                </c:pt>
                <c:pt idx="19">
                  <c:v>-8.443767695943496</c:v>
                </c:pt>
                <c:pt idx="20">
                  <c:v>-3.443767695943496</c:v>
                </c:pt>
                <c:pt idx="21">
                  <c:v>1.556232304056504</c:v>
                </c:pt>
                <c:pt idx="22">
                  <c:v>6.556232304056504</c:v>
                </c:pt>
                <c:pt idx="23">
                  <c:v>11.556232304056504</c:v>
                </c:pt>
                <c:pt idx="24">
                  <c:v>16.556232304056504</c:v>
                </c:pt>
                <c:pt idx="25">
                  <c:v>21.556232304056504</c:v>
                </c:pt>
                <c:pt idx="26">
                  <c:v>26.556232304056504</c:v>
                </c:pt>
                <c:pt idx="27">
                  <c:v>31.556232304056504</c:v>
                </c:pt>
                <c:pt idx="28">
                  <c:v>36.556232304056508</c:v>
                </c:pt>
                <c:pt idx="29">
                  <c:v>41.556232304056508</c:v>
                </c:pt>
                <c:pt idx="30">
                  <c:v>46.556232304056508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Strategy!$E$6</c:f>
              <c:strCache>
                <c:ptCount val="1"/>
                <c:pt idx="0">
                  <c:v>Call K2</c:v>
                </c:pt>
              </c:strCache>
            </c:strRef>
          </c:tx>
          <c:marker>
            <c:symbol val="none"/>
          </c:marker>
          <c:xVal>
            <c:numRef>
              <c:f>Strategy!$B$7:$B$37</c:f>
              <c:numCache>
                <c:formatCode>General</c:formatCode>
                <c:ptCount val="3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</c:numCache>
            </c:numRef>
          </c:xVal>
          <c:yVal>
            <c:numRef>
              <c:f>Strategy!$E$7:$E$37</c:f>
              <c:numCache>
                <c:formatCode>0.00</c:formatCode>
                <c:ptCount val="31"/>
                <c:pt idx="0">
                  <c:v>-6.656347441605722</c:v>
                </c:pt>
                <c:pt idx="1">
                  <c:v>-6.656347441605722</c:v>
                </c:pt>
                <c:pt idx="2">
                  <c:v>-6.656347441605722</c:v>
                </c:pt>
                <c:pt idx="3">
                  <c:v>-6.656347441605722</c:v>
                </c:pt>
                <c:pt idx="4">
                  <c:v>-6.656347441605722</c:v>
                </c:pt>
                <c:pt idx="5">
                  <c:v>-6.656347441605722</c:v>
                </c:pt>
                <c:pt idx="6">
                  <c:v>-6.656347441605722</c:v>
                </c:pt>
                <c:pt idx="7">
                  <c:v>-6.656347441605722</c:v>
                </c:pt>
                <c:pt idx="8">
                  <c:v>-6.656347441605722</c:v>
                </c:pt>
                <c:pt idx="9">
                  <c:v>-6.656347441605722</c:v>
                </c:pt>
                <c:pt idx="10">
                  <c:v>-6.656347441605722</c:v>
                </c:pt>
                <c:pt idx="11">
                  <c:v>-6.656347441605722</c:v>
                </c:pt>
                <c:pt idx="12">
                  <c:v>-6.656347441605722</c:v>
                </c:pt>
                <c:pt idx="13">
                  <c:v>-6.656347441605722</c:v>
                </c:pt>
                <c:pt idx="14">
                  <c:v>-6.656347441605722</c:v>
                </c:pt>
                <c:pt idx="15">
                  <c:v>-6.656347441605722</c:v>
                </c:pt>
                <c:pt idx="16">
                  <c:v>-6.656347441605722</c:v>
                </c:pt>
                <c:pt idx="17">
                  <c:v>-6.656347441605722</c:v>
                </c:pt>
                <c:pt idx="18">
                  <c:v>-6.656347441605722</c:v>
                </c:pt>
                <c:pt idx="19">
                  <c:v>-6.656347441605722</c:v>
                </c:pt>
                <c:pt idx="20">
                  <c:v>-6.656347441605722</c:v>
                </c:pt>
                <c:pt idx="21">
                  <c:v>-1.656347441605722</c:v>
                </c:pt>
                <c:pt idx="22">
                  <c:v>3.343652558394278</c:v>
                </c:pt>
                <c:pt idx="23">
                  <c:v>8.3436525583942789</c:v>
                </c:pt>
                <c:pt idx="24">
                  <c:v>13.343652558394279</c:v>
                </c:pt>
                <c:pt idx="25">
                  <c:v>18.343652558394279</c:v>
                </c:pt>
                <c:pt idx="26">
                  <c:v>23.343652558394279</c:v>
                </c:pt>
                <c:pt idx="27">
                  <c:v>28.343652558394279</c:v>
                </c:pt>
                <c:pt idx="28">
                  <c:v>33.343652558394275</c:v>
                </c:pt>
                <c:pt idx="29">
                  <c:v>38.343652558394275</c:v>
                </c:pt>
                <c:pt idx="30">
                  <c:v>43.343652558394275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Strategy!$K$6</c:f>
              <c:strCache>
                <c:ptCount val="1"/>
                <c:pt idx="0">
                  <c:v>Bull Sprd</c:v>
                </c:pt>
              </c:strCache>
            </c:strRef>
          </c:tx>
          <c:marker>
            <c:symbol val="none"/>
          </c:marker>
          <c:xVal>
            <c:numRef>
              <c:f>Strategy!$B$7:$B$37</c:f>
              <c:numCache>
                <c:formatCode>General</c:formatCode>
                <c:ptCount val="3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</c:numCache>
            </c:numRef>
          </c:xVal>
          <c:yVal>
            <c:numRef>
              <c:f>Strategy!$K$7:$K$37</c:f>
              <c:numCache>
                <c:formatCode>0.00</c:formatCode>
                <c:ptCount val="31"/>
                <c:pt idx="0">
                  <c:v>-6.787420254337774</c:v>
                </c:pt>
                <c:pt idx="1">
                  <c:v>-6.787420254337774</c:v>
                </c:pt>
                <c:pt idx="2">
                  <c:v>-6.787420254337774</c:v>
                </c:pt>
                <c:pt idx="3">
                  <c:v>-6.787420254337774</c:v>
                </c:pt>
                <c:pt idx="4">
                  <c:v>-6.787420254337774</c:v>
                </c:pt>
                <c:pt idx="5">
                  <c:v>-6.787420254337774</c:v>
                </c:pt>
                <c:pt idx="6">
                  <c:v>-6.787420254337774</c:v>
                </c:pt>
                <c:pt idx="7">
                  <c:v>-6.787420254337774</c:v>
                </c:pt>
                <c:pt idx="8">
                  <c:v>-6.787420254337774</c:v>
                </c:pt>
                <c:pt idx="9">
                  <c:v>-6.787420254337774</c:v>
                </c:pt>
                <c:pt idx="10">
                  <c:v>-6.787420254337774</c:v>
                </c:pt>
                <c:pt idx="11">
                  <c:v>-6.787420254337774</c:v>
                </c:pt>
                <c:pt idx="12">
                  <c:v>-6.787420254337774</c:v>
                </c:pt>
                <c:pt idx="13">
                  <c:v>-6.787420254337774</c:v>
                </c:pt>
                <c:pt idx="14">
                  <c:v>-6.787420254337774</c:v>
                </c:pt>
                <c:pt idx="15">
                  <c:v>-6.787420254337774</c:v>
                </c:pt>
                <c:pt idx="16">
                  <c:v>-6.787420254337774</c:v>
                </c:pt>
                <c:pt idx="17">
                  <c:v>-6.787420254337774</c:v>
                </c:pt>
                <c:pt idx="18">
                  <c:v>-6.787420254337774</c:v>
                </c:pt>
                <c:pt idx="19">
                  <c:v>-1.787420254337774</c:v>
                </c:pt>
                <c:pt idx="20">
                  <c:v>3.212579745662226</c:v>
                </c:pt>
                <c:pt idx="21">
                  <c:v>3.212579745662226</c:v>
                </c:pt>
                <c:pt idx="22">
                  <c:v>3.212579745662226</c:v>
                </c:pt>
                <c:pt idx="23">
                  <c:v>3.2125797456622252</c:v>
                </c:pt>
                <c:pt idx="24">
                  <c:v>3.2125797456622252</c:v>
                </c:pt>
                <c:pt idx="25">
                  <c:v>3.2125797456622252</c:v>
                </c:pt>
                <c:pt idx="26">
                  <c:v>3.2125797456622252</c:v>
                </c:pt>
                <c:pt idx="27">
                  <c:v>3.2125797456622252</c:v>
                </c:pt>
                <c:pt idx="28">
                  <c:v>3.2125797456622323</c:v>
                </c:pt>
                <c:pt idx="29">
                  <c:v>3.2125797456622323</c:v>
                </c:pt>
                <c:pt idx="30">
                  <c:v>3.2125797456622323</c:v>
                </c:pt>
              </c:numCache>
            </c:numRef>
          </c:yVal>
          <c:smooth val="1"/>
        </c:ser>
        <c:axId val="91939200"/>
        <c:axId val="91940736"/>
      </c:scatterChart>
      <c:valAx>
        <c:axId val="91939200"/>
        <c:scaling>
          <c:orientation val="minMax"/>
        </c:scaling>
        <c:axPos val="b"/>
        <c:numFmt formatCode="General" sourceLinked="1"/>
        <c:tickLblPos val="nextTo"/>
        <c:crossAx val="91940736"/>
        <c:crosses val="autoZero"/>
        <c:crossBetween val="midCat"/>
      </c:valAx>
      <c:valAx>
        <c:axId val="91940736"/>
        <c:scaling>
          <c:orientation val="minMax"/>
        </c:scaling>
        <c:axPos val="l"/>
        <c:majorGridlines/>
        <c:numFmt formatCode="0.00" sourceLinked="1"/>
        <c:tickLblPos val="nextTo"/>
        <c:crossAx val="91939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Figure 16.15: Bear Spread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Strategy!$L$6</c:f>
              <c:strCache>
                <c:ptCount val="1"/>
                <c:pt idx="0">
                  <c:v>Bear Sprd</c:v>
                </c:pt>
              </c:strCache>
            </c:strRef>
          </c:tx>
          <c:marker>
            <c:symbol val="none"/>
          </c:marker>
          <c:xVal>
            <c:numRef>
              <c:f>Strategy!$A$7:$A$37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Strategy!$L$7:$L$37</c:f>
              <c:numCache>
                <c:formatCode>0.00</c:formatCode>
                <c:ptCount val="31"/>
                <c:pt idx="0">
                  <c:v>2.8135258214520604</c:v>
                </c:pt>
                <c:pt idx="1">
                  <c:v>2.8135258214520604</c:v>
                </c:pt>
                <c:pt idx="2">
                  <c:v>2.8135258214520604</c:v>
                </c:pt>
                <c:pt idx="3">
                  <c:v>2.8135258214520604</c:v>
                </c:pt>
                <c:pt idx="4">
                  <c:v>2.8135258214520604</c:v>
                </c:pt>
                <c:pt idx="5">
                  <c:v>2.8135258214520604</c:v>
                </c:pt>
                <c:pt idx="6">
                  <c:v>2.8135258214520604</c:v>
                </c:pt>
                <c:pt idx="7">
                  <c:v>2.8135258214520675</c:v>
                </c:pt>
                <c:pt idx="8">
                  <c:v>2.8135258214520675</c:v>
                </c:pt>
                <c:pt idx="9">
                  <c:v>2.8135258214520675</c:v>
                </c:pt>
                <c:pt idx="10">
                  <c:v>2.8135258214520675</c:v>
                </c:pt>
                <c:pt idx="11">
                  <c:v>2.8135258214520675</c:v>
                </c:pt>
                <c:pt idx="12">
                  <c:v>2.8135258214520675</c:v>
                </c:pt>
                <c:pt idx="13">
                  <c:v>2.8135258214520675</c:v>
                </c:pt>
                <c:pt idx="14">
                  <c:v>2.8135258214520675</c:v>
                </c:pt>
                <c:pt idx="15">
                  <c:v>2.8135258214520675</c:v>
                </c:pt>
                <c:pt idx="16">
                  <c:v>2.8135258214520693</c:v>
                </c:pt>
                <c:pt idx="17">
                  <c:v>2.8135258214520693</c:v>
                </c:pt>
                <c:pt idx="18">
                  <c:v>2.8135258214520689</c:v>
                </c:pt>
                <c:pt idx="19">
                  <c:v>2.8135258214520689</c:v>
                </c:pt>
                <c:pt idx="20">
                  <c:v>-1.1864741785479311</c:v>
                </c:pt>
                <c:pt idx="21">
                  <c:v>-1.1864741785479311</c:v>
                </c:pt>
                <c:pt idx="22">
                  <c:v>-1.1864741785479311</c:v>
                </c:pt>
                <c:pt idx="23">
                  <c:v>-1.1864741785479311</c:v>
                </c:pt>
                <c:pt idx="24">
                  <c:v>-1.1864741785479311</c:v>
                </c:pt>
                <c:pt idx="25">
                  <c:v>-1.1864741785479311</c:v>
                </c:pt>
                <c:pt idx="26">
                  <c:v>-1.1864741785479311</c:v>
                </c:pt>
                <c:pt idx="27">
                  <c:v>-1.1864741785479311</c:v>
                </c:pt>
                <c:pt idx="28">
                  <c:v>-1.1864741785479311</c:v>
                </c:pt>
                <c:pt idx="29">
                  <c:v>-1.1864741785479311</c:v>
                </c:pt>
                <c:pt idx="30">
                  <c:v>-1.1864741785479311</c:v>
                </c:pt>
              </c:numCache>
            </c:numRef>
          </c:yVal>
          <c:smooth val="1"/>
        </c:ser>
        <c:axId val="92116480"/>
        <c:axId val="92118016"/>
      </c:scatterChart>
      <c:valAx>
        <c:axId val="92116480"/>
        <c:scaling>
          <c:orientation val="minMax"/>
        </c:scaling>
        <c:axPos val="b"/>
        <c:numFmt formatCode="General" sourceLinked="1"/>
        <c:tickLblPos val="nextTo"/>
        <c:crossAx val="92118016"/>
        <c:crosses val="autoZero"/>
        <c:crossBetween val="midCat"/>
      </c:valAx>
      <c:valAx>
        <c:axId val="92118016"/>
        <c:scaling>
          <c:orientation val="minMax"/>
        </c:scaling>
        <c:axPos val="l"/>
        <c:majorGridlines/>
        <c:numFmt formatCode="0.00" sourceLinked="1"/>
        <c:tickLblPos val="nextTo"/>
        <c:crossAx val="92116480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Figure 16.15:  Bear Spread 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Strategy!$D$6</c:f>
              <c:strCache>
                <c:ptCount val="1"/>
                <c:pt idx="0">
                  <c:v>Put K1</c:v>
                </c:pt>
              </c:strCache>
            </c:strRef>
          </c:tx>
          <c:marker>
            <c:symbol val="none"/>
          </c:marker>
          <c:xVal>
            <c:numRef>
              <c:f>Strategy!$A$7:$A$37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Strategy!$D$7:$D$37</c:f>
              <c:numCache>
                <c:formatCode>0.00</c:formatCode>
                <c:ptCount val="31"/>
                <c:pt idx="0">
                  <c:v>92.290688274503196</c:v>
                </c:pt>
                <c:pt idx="1">
                  <c:v>87.290688274503196</c:v>
                </c:pt>
                <c:pt idx="2">
                  <c:v>82.290688274503196</c:v>
                </c:pt>
                <c:pt idx="3">
                  <c:v>77.290688274503196</c:v>
                </c:pt>
                <c:pt idx="4">
                  <c:v>72.290688274503196</c:v>
                </c:pt>
                <c:pt idx="5">
                  <c:v>67.290688274503196</c:v>
                </c:pt>
                <c:pt idx="6">
                  <c:v>62.290688274503196</c:v>
                </c:pt>
                <c:pt idx="7">
                  <c:v>57.290688274503196</c:v>
                </c:pt>
                <c:pt idx="8">
                  <c:v>52.290688274503196</c:v>
                </c:pt>
                <c:pt idx="9">
                  <c:v>47.290688274503196</c:v>
                </c:pt>
                <c:pt idx="10">
                  <c:v>42.290688274503196</c:v>
                </c:pt>
                <c:pt idx="11">
                  <c:v>37.290688274503196</c:v>
                </c:pt>
                <c:pt idx="12">
                  <c:v>32.290688274503196</c:v>
                </c:pt>
                <c:pt idx="13">
                  <c:v>27.290688274503196</c:v>
                </c:pt>
                <c:pt idx="14">
                  <c:v>22.290688274503196</c:v>
                </c:pt>
                <c:pt idx="15">
                  <c:v>17.290688274503196</c:v>
                </c:pt>
                <c:pt idx="16">
                  <c:v>12.290688274503195</c:v>
                </c:pt>
                <c:pt idx="17">
                  <c:v>7.2906882745031947</c:v>
                </c:pt>
                <c:pt idx="18">
                  <c:v>2.2906882745031951</c:v>
                </c:pt>
                <c:pt idx="19">
                  <c:v>-2.7093117254968049</c:v>
                </c:pt>
                <c:pt idx="20">
                  <c:v>-2.7093117254968049</c:v>
                </c:pt>
                <c:pt idx="21">
                  <c:v>-2.7093117254968049</c:v>
                </c:pt>
                <c:pt idx="22">
                  <c:v>-2.7093117254968049</c:v>
                </c:pt>
                <c:pt idx="23">
                  <c:v>-2.7093117254968049</c:v>
                </c:pt>
                <c:pt idx="24">
                  <c:v>-2.7093117254968049</c:v>
                </c:pt>
                <c:pt idx="25">
                  <c:v>-2.7093117254968049</c:v>
                </c:pt>
                <c:pt idx="26">
                  <c:v>-2.7093117254968049</c:v>
                </c:pt>
                <c:pt idx="27">
                  <c:v>-2.7093117254968049</c:v>
                </c:pt>
                <c:pt idx="28">
                  <c:v>-2.7093117254968049</c:v>
                </c:pt>
                <c:pt idx="29">
                  <c:v>-2.7093117254968049</c:v>
                </c:pt>
                <c:pt idx="30">
                  <c:v>-2.7093117254968049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Strategy!$F$6</c:f>
              <c:strCache>
                <c:ptCount val="1"/>
                <c:pt idx="0">
                  <c:v>Put K2</c:v>
                </c:pt>
              </c:strCache>
            </c:strRef>
          </c:tx>
          <c:marker>
            <c:symbol val="none"/>
          </c:marker>
          <c:xVal>
            <c:numRef>
              <c:f>Strategy!$A$7:$A$37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Strategy!$F$7:$F$37</c:f>
              <c:numCache>
                <c:formatCode>0.00</c:formatCode>
                <c:ptCount val="31"/>
                <c:pt idx="0">
                  <c:v>95.104214095955257</c:v>
                </c:pt>
                <c:pt idx="1">
                  <c:v>90.104214095955257</c:v>
                </c:pt>
                <c:pt idx="2">
                  <c:v>85.104214095955257</c:v>
                </c:pt>
                <c:pt idx="3">
                  <c:v>80.104214095955257</c:v>
                </c:pt>
                <c:pt idx="4">
                  <c:v>75.104214095955257</c:v>
                </c:pt>
                <c:pt idx="5">
                  <c:v>70.104214095955257</c:v>
                </c:pt>
                <c:pt idx="6">
                  <c:v>65.104214095955257</c:v>
                </c:pt>
                <c:pt idx="7">
                  <c:v>60.104214095955264</c:v>
                </c:pt>
                <c:pt idx="8">
                  <c:v>55.104214095955264</c:v>
                </c:pt>
                <c:pt idx="9">
                  <c:v>50.104214095955264</c:v>
                </c:pt>
                <c:pt idx="10">
                  <c:v>45.104214095955264</c:v>
                </c:pt>
                <c:pt idx="11">
                  <c:v>40.104214095955264</c:v>
                </c:pt>
                <c:pt idx="12">
                  <c:v>35.104214095955264</c:v>
                </c:pt>
                <c:pt idx="13">
                  <c:v>30.104214095955264</c:v>
                </c:pt>
                <c:pt idx="14">
                  <c:v>25.104214095955264</c:v>
                </c:pt>
                <c:pt idx="15">
                  <c:v>20.104214095955264</c:v>
                </c:pt>
                <c:pt idx="16">
                  <c:v>15.104214095955264</c:v>
                </c:pt>
                <c:pt idx="17">
                  <c:v>10.104214095955264</c:v>
                </c:pt>
                <c:pt idx="18">
                  <c:v>5.104214095955264</c:v>
                </c:pt>
                <c:pt idx="19">
                  <c:v>0.10421409595526399</c:v>
                </c:pt>
                <c:pt idx="20">
                  <c:v>-3.895785904044736</c:v>
                </c:pt>
                <c:pt idx="21">
                  <c:v>-3.895785904044736</c:v>
                </c:pt>
                <c:pt idx="22">
                  <c:v>-3.895785904044736</c:v>
                </c:pt>
                <c:pt idx="23">
                  <c:v>-3.895785904044736</c:v>
                </c:pt>
                <c:pt idx="24">
                  <c:v>-3.895785904044736</c:v>
                </c:pt>
                <c:pt idx="25">
                  <c:v>-3.895785904044736</c:v>
                </c:pt>
                <c:pt idx="26">
                  <c:v>-3.895785904044736</c:v>
                </c:pt>
                <c:pt idx="27">
                  <c:v>-3.895785904044736</c:v>
                </c:pt>
                <c:pt idx="28">
                  <c:v>-3.895785904044736</c:v>
                </c:pt>
                <c:pt idx="29">
                  <c:v>-3.895785904044736</c:v>
                </c:pt>
                <c:pt idx="30">
                  <c:v>-3.895785904044736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Strategy!$L$6</c:f>
              <c:strCache>
                <c:ptCount val="1"/>
                <c:pt idx="0">
                  <c:v>Bear Sprd</c:v>
                </c:pt>
              </c:strCache>
            </c:strRef>
          </c:tx>
          <c:marker>
            <c:symbol val="none"/>
          </c:marker>
          <c:xVal>
            <c:numRef>
              <c:f>Strategy!$A$7:$A$37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Strategy!$L$7:$L$37</c:f>
              <c:numCache>
                <c:formatCode>0.00</c:formatCode>
                <c:ptCount val="31"/>
                <c:pt idx="0">
                  <c:v>2.8135258214520604</c:v>
                </c:pt>
                <c:pt idx="1">
                  <c:v>2.8135258214520604</c:v>
                </c:pt>
                <c:pt idx="2">
                  <c:v>2.8135258214520604</c:v>
                </c:pt>
                <c:pt idx="3">
                  <c:v>2.8135258214520604</c:v>
                </c:pt>
                <c:pt idx="4">
                  <c:v>2.8135258214520604</c:v>
                </c:pt>
                <c:pt idx="5">
                  <c:v>2.8135258214520604</c:v>
                </c:pt>
                <c:pt idx="6">
                  <c:v>2.8135258214520604</c:v>
                </c:pt>
                <c:pt idx="7">
                  <c:v>2.8135258214520675</c:v>
                </c:pt>
                <c:pt idx="8">
                  <c:v>2.8135258214520675</c:v>
                </c:pt>
                <c:pt idx="9">
                  <c:v>2.8135258214520675</c:v>
                </c:pt>
                <c:pt idx="10">
                  <c:v>2.8135258214520675</c:v>
                </c:pt>
                <c:pt idx="11">
                  <c:v>2.8135258214520675</c:v>
                </c:pt>
                <c:pt idx="12">
                  <c:v>2.8135258214520675</c:v>
                </c:pt>
                <c:pt idx="13">
                  <c:v>2.8135258214520675</c:v>
                </c:pt>
                <c:pt idx="14">
                  <c:v>2.8135258214520675</c:v>
                </c:pt>
                <c:pt idx="15">
                  <c:v>2.8135258214520675</c:v>
                </c:pt>
                <c:pt idx="16">
                  <c:v>2.8135258214520693</c:v>
                </c:pt>
                <c:pt idx="17">
                  <c:v>2.8135258214520693</c:v>
                </c:pt>
                <c:pt idx="18">
                  <c:v>2.8135258214520689</c:v>
                </c:pt>
                <c:pt idx="19">
                  <c:v>2.8135258214520689</c:v>
                </c:pt>
                <c:pt idx="20">
                  <c:v>-1.1864741785479311</c:v>
                </c:pt>
                <c:pt idx="21">
                  <c:v>-1.1864741785479311</c:v>
                </c:pt>
                <c:pt idx="22">
                  <c:v>-1.1864741785479311</c:v>
                </c:pt>
                <c:pt idx="23">
                  <c:v>-1.1864741785479311</c:v>
                </c:pt>
                <c:pt idx="24">
                  <c:v>-1.1864741785479311</c:v>
                </c:pt>
                <c:pt idx="25">
                  <c:v>-1.1864741785479311</c:v>
                </c:pt>
                <c:pt idx="26">
                  <c:v>-1.1864741785479311</c:v>
                </c:pt>
                <c:pt idx="27">
                  <c:v>-1.1864741785479311</c:v>
                </c:pt>
                <c:pt idx="28">
                  <c:v>-1.1864741785479311</c:v>
                </c:pt>
                <c:pt idx="29">
                  <c:v>-1.1864741785479311</c:v>
                </c:pt>
                <c:pt idx="30">
                  <c:v>-1.1864741785479311</c:v>
                </c:pt>
              </c:numCache>
            </c:numRef>
          </c:yVal>
          <c:smooth val="1"/>
        </c:ser>
        <c:axId val="92180480"/>
        <c:axId val="92182016"/>
      </c:scatterChart>
      <c:valAx>
        <c:axId val="92180480"/>
        <c:scaling>
          <c:orientation val="minMax"/>
        </c:scaling>
        <c:axPos val="b"/>
        <c:numFmt formatCode="General" sourceLinked="1"/>
        <c:tickLblPos val="nextTo"/>
        <c:crossAx val="92182016"/>
        <c:crosses val="autoZero"/>
        <c:crossBetween val="midCat"/>
      </c:valAx>
      <c:valAx>
        <c:axId val="92182016"/>
        <c:scaling>
          <c:orientation val="minMax"/>
        </c:scaling>
        <c:axPos val="l"/>
        <c:majorGridlines/>
        <c:numFmt formatCode="0.00" sourceLinked="1"/>
        <c:tickLblPos val="nextTo"/>
        <c:crossAx val="921804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Figure 16.17: Butterfly Spread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Strategy!$N$6</c:f>
              <c:strCache>
                <c:ptCount val="1"/>
                <c:pt idx="0">
                  <c:v>Butterfly</c:v>
                </c:pt>
              </c:strCache>
            </c:strRef>
          </c:tx>
          <c:marker>
            <c:symbol val="none"/>
          </c:marker>
          <c:xVal>
            <c:numRef>
              <c:f>Strategy!$A$7:$A$37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Strategy!$N$7:$N$37</c:f>
              <c:numCache>
                <c:formatCode>0.00</c:formatCode>
                <c:ptCount val="31"/>
                <c:pt idx="0">
                  <c:v>-3.030914183623489</c:v>
                </c:pt>
                <c:pt idx="1">
                  <c:v>-3.030914183623489</c:v>
                </c:pt>
                <c:pt idx="2">
                  <c:v>-3.030914183623489</c:v>
                </c:pt>
                <c:pt idx="3">
                  <c:v>-3.030914183623489</c:v>
                </c:pt>
                <c:pt idx="4">
                  <c:v>-3.030914183623489</c:v>
                </c:pt>
                <c:pt idx="5">
                  <c:v>-3.030914183623489</c:v>
                </c:pt>
                <c:pt idx="6">
                  <c:v>-3.030914183623489</c:v>
                </c:pt>
                <c:pt idx="7">
                  <c:v>-3.030914183623489</c:v>
                </c:pt>
                <c:pt idx="8">
                  <c:v>-3.030914183623489</c:v>
                </c:pt>
                <c:pt idx="9">
                  <c:v>-3.030914183623489</c:v>
                </c:pt>
                <c:pt idx="10">
                  <c:v>-3.030914183623489</c:v>
                </c:pt>
                <c:pt idx="11">
                  <c:v>-3.030914183623489</c:v>
                </c:pt>
                <c:pt idx="12">
                  <c:v>-3.030914183623489</c:v>
                </c:pt>
                <c:pt idx="13">
                  <c:v>-3.030914183623489</c:v>
                </c:pt>
                <c:pt idx="14">
                  <c:v>-3.030914183623489</c:v>
                </c:pt>
                <c:pt idx="15">
                  <c:v>-3.030914183623489</c:v>
                </c:pt>
                <c:pt idx="16">
                  <c:v>-3.030914183623489</c:v>
                </c:pt>
                <c:pt idx="17">
                  <c:v>-3.030914183623489</c:v>
                </c:pt>
                <c:pt idx="18">
                  <c:v>-3.030914183623489</c:v>
                </c:pt>
                <c:pt idx="19">
                  <c:v>1.969085816376511</c:v>
                </c:pt>
                <c:pt idx="20">
                  <c:v>6.9690858163765119</c:v>
                </c:pt>
                <c:pt idx="21">
                  <c:v>1.9690858163765119</c:v>
                </c:pt>
                <c:pt idx="22">
                  <c:v>-3.0309141836234881</c:v>
                </c:pt>
                <c:pt idx="23">
                  <c:v>-3.0309141836234907</c:v>
                </c:pt>
                <c:pt idx="24">
                  <c:v>-3.0309141836234907</c:v>
                </c:pt>
                <c:pt idx="25">
                  <c:v>-3.0309141836234872</c:v>
                </c:pt>
                <c:pt idx="26">
                  <c:v>-3.0309141836234872</c:v>
                </c:pt>
                <c:pt idx="27">
                  <c:v>-3.0309141836234872</c:v>
                </c:pt>
                <c:pt idx="28">
                  <c:v>-3.0309141836234801</c:v>
                </c:pt>
                <c:pt idx="29">
                  <c:v>-3.0309141836234801</c:v>
                </c:pt>
                <c:pt idx="30">
                  <c:v>-3.0309141836234801</c:v>
                </c:pt>
              </c:numCache>
            </c:numRef>
          </c:yVal>
          <c:smooth val="1"/>
        </c:ser>
        <c:axId val="92206208"/>
        <c:axId val="92207744"/>
      </c:scatterChart>
      <c:valAx>
        <c:axId val="92206208"/>
        <c:scaling>
          <c:orientation val="minMax"/>
        </c:scaling>
        <c:axPos val="b"/>
        <c:numFmt formatCode="General" sourceLinked="1"/>
        <c:tickLblPos val="nextTo"/>
        <c:crossAx val="92207744"/>
        <c:crosses val="autoZero"/>
        <c:crossBetween val="midCat"/>
      </c:valAx>
      <c:valAx>
        <c:axId val="92207744"/>
        <c:scaling>
          <c:orientation val="minMax"/>
        </c:scaling>
        <c:axPos val="l"/>
        <c:majorGridlines/>
        <c:numFmt formatCode="0.00" sourceLinked="1"/>
        <c:tickLblPos val="nextTo"/>
        <c:crossAx val="92206208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Figure 16.18: Long Straddle 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Strategy!$Q$6</c:f>
              <c:strCache>
                <c:ptCount val="1"/>
                <c:pt idx="0">
                  <c:v>Straddle </c:v>
                </c:pt>
              </c:strCache>
            </c:strRef>
          </c:tx>
          <c:marker>
            <c:symbol val="none"/>
          </c:marker>
          <c:xVal>
            <c:numRef>
              <c:f>Strategy!$A$7:$A$37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Strategy!$Q$7:$Q$37</c:f>
              <c:numCache>
                <c:formatCode>0.00</c:formatCode>
                <c:ptCount val="31"/>
                <c:pt idx="0">
                  <c:v>88.447866654349539</c:v>
                </c:pt>
                <c:pt idx="1">
                  <c:v>83.447866654349539</c:v>
                </c:pt>
                <c:pt idx="2">
                  <c:v>78.447866654349539</c:v>
                </c:pt>
                <c:pt idx="3">
                  <c:v>73.447866654349539</c:v>
                </c:pt>
                <c:pt idx="4">
                  <c:v>68.447866654349539</c:v>
                </c:pt>
                <c:pt idx="5">
                  <c:v>63.447866654349532</c:v>
                </c:pt>
                <c:pt idx="6">
                  <c:v>58.447866654349532</c:v>
                </c:pt>
                <c:pt idx="7">
                  <c:v>53.447866654349539</c:v>
                </c:pt>
                <c:pt idx="8">
                  <c:v>48.447866654349539</c:v>
                </c:pt>
                <c:pt idx="9">
                  <c:v>43.447866654349539</c:v>
                </c:pt>
                <c:pt idx="10">
                  <c:v>38.447866654349539</c:v>
                </c:pt>
                <c:pt idx="11">
                  <c:v>33.447866654349539</c:v>
                </c:pt>
                <c:pt idx="12">
                  <c:v>28.447866654349543</c:v>
                </c:pt>
                <c:pt idx="13">
                  <c:v>23.447866654349543</c:v>
                </c:pt>
                <c:pt idx="14">
                  <c:v>18.447866654349543</c:v>
                </c:pt>
                <c:pt idx="15">
                  <c:v>13.447866654349543</c:v>
                </c:pt>
                <c:pt idx="16">
                  <c:v>8.4478666543495429</c:v>
                </c:pt>
                <c:pt idx="17">
                  <c:v>3.447866654349542</c:v>
                </c:pt>
                <c:pt idx="18">
                  <c:v>-1.552133345650458</c:v>
                </c:pt>
                <c:pt idx="19">
                  <c:v>-6.552133345650458</c:v>
                </c:pt>
                <c:pt idx="20">
                  <c:v>-10.552133345650457</c:v>
                </c:pt>
                <c:pt idx="21">
                  <c:v>-5.552133345650458</c:v>
                </c:pt>
                <c:pt idx="22">
                  <c:v>-0.55213334565045802</c:v>
                </c:pt>
                <c:pt idx="23">
                  <c:v>4.4478666543495429</c:v>
                </c:pt>
                <c:pt idx="24">
                  <c:v>9.4478666543495429</c:v>
                </c:pt>
                <c:pt idx="25">
                  <c:v>14.447866654349543</c:v>
                </c:pt>
                <c:pt idx="26">
                  <c:v>19.447866654349543</c:v>
                </c:pt>
                <c:pt idx="27">
                  <c:v>24.447866654349543</c:v>
                </c:pt>
                <c:pt idx="28">
                  <c:v>29.447866654349539</c:v>
                </c:pt>
                <c:pt idx="29">
                  <c:v>34.447866654349539</c:v>
                </c:pt>
                <c:pt idx="30">
                  <c:v>39.447866654349539</c:v>
                </c:pt>
              </c:numCache>
            </c:numRef>
          </c:yVal>
          <c:smooth val="1"/>
        </c:ser>
        <c:axId val="92227456"/>
        <c:axId val="92228992"/>
      </c:scatterChart>
      <c:valAx>
        <c:axId val="92227456"/>
        <c:scaling>
          <c:orientation val="minMax"/>
        </c:scaling>
        <c:axPos val="b"/>
        <c:numFmt formatCode="General" sourceLinked="1"/>
        <c:tickLblPos val="nextTo"/>
        <c:crossAx val="92228992"/>
        <c:crosses val="autoZero"/>
        <c:crossBetween val="midCat"/>
      </c:valAx>
      <c:valAx>
        <c:axId val="92228992"/>
        <c:scaling>
          <c:orientation val="minMax"/>
        </c:scaling>
        <c:axPos val="l"/>
        <c:majorGridlines/>
        <c:numFmt formatCode="0.00" sourceLinked="1"/>
        <c:tickLblPos val="nextTo"/>
        <c:crossAx val="92227456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Figure 16.16:  Collar 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Strategy!$M$6</c:f>
              <c:strCache>
                <c:ptCount val="1"/>
                <c:pt idx="0">
                  <c:v>Collar </c:v>
                </c:pt>
              </c:strCache>
            </c:strRef>
          </c:tx>
          <c:marker>
            <c:symbol val="none"/>
          </c:marker>
          <c:xVal>
            <c:numRef>
              <c:f>Strategy!$A$7:$A$37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Strategy!$M$7:$M$37</c:f>
              <c:numCache>
                <c:formatCode>0.00</c:formatCode>
                <c:ptCount val="31"/>
                <c:pt idx="0">
                  <c:v>1.7605615375609789</c:v>
                </c:pt>
                <c:pt idx="1">
                  <c:v>1.7605615375609789</c:v>
                </c:pt>
                <c:pt idx="2">
                  <c:v>1.7605615375609789</c:v>
                </c:pt>
                <c:pt idx="3">
                  <c:v>1.7605615375609789</c:v>
                </c:pt>
                <c:pt idx="4">
                  <c:v>1.7605615375609789</c:v>
                </c:pt>
                <c:pt idx="5">
                  <c:v>1.7605615375609789</c:v>
                </c:pt>
                <c:pt idx="6">
                  <c:v>1.7605615375609789</c:v>
                </c:pt>
                <c:pt idx="7">
                  <c:v>1.760561537560986</c:v>
                </c:pt>
                <c:pt idx="8">
                  <c:v>1.760561537560986</c:v>
                </c:pt>
                <c:pt idx="9">
                  <c:v>1.760561537560986</c:v>
                </c:pt>
                <c:pt idx="10">
                  <c:v>1.760561537560986</c:v>
                </c:pt>
                <c:pt idx="11">
                  <c:v>1.760561537560986</c:v>
                </c:pt>
                <c:pt idx="12">
                  <c:v>1.760561537560986</c:v>
                </c:pt>
                <c:pt idx="13">
                  <c:v>1.760561537560986</c:v>
                </c:pt>
                <c:pt idx="14">
                  <c:v>1.760561537560986</c:v>
                </c:pt>
                <c:pt idx="15">
                  <c:v>1.760561537560986</c:v>
                </c:pt>
                <c:pt idx="16">
                  <c:v>1.760561537560986</c:v>
                </c:pt>
                <c:pt idx="17">
                  <c:v>1.760561537560986</c:v>
                </c:pt>
                <c:pt idx="18">
                  <c:v>1.760561537560986</c:v>
                </c:pt>
                <c:pt idx="19">
                  <c:v>1.760561537560986</c:v>
                </c:pt>
                <c:pt idx="20">
                  <c:v>2.760561537560986</c:v>
                </c:pt>
                <c:pt idx="21">
                  <c:v>2.760561537560986</c:v>
                </c:pt>
                <c:pt idx="22">
                  <c:v>2.760561537560986</c:v>
                </c:pt>
                <c:pt idx="23">
                  <c:v>2.7605615375609851</c:v>
                </c:pt>
                <c:pt idx="24">
                  <c:v>2.7605615375609851</c:v>
                </c:pt>
                <c:pt idx="25">
                  <c:v>2.7605615375609851</c:v>
                </c:pt>
                <c:pt idx="26">
                  <c:v>2.7605615375609851</c:v>
                </c:pt>
                <c:pt idx="27">
                  <c:v>2.7605615375609851</c:v>
                </c:pt>
                <c:pt idx="28">
                  <c:v>2.7605615375609887</c:v>
                </c:pt>
                <c:pt idx="29">
                  <c:v>2.7605615375609887</c:v>
                </c:pt>
                <c:pt idx="30">
                  <c:v>2.7605615375609887</c:v>
                </c:pt>
              </c:numCache>
            </c:numRef>
          </c:yVal>
          <c:smooth val="1"/>
        </c:ser>
        <c:axId val="92244608"/>
        <c:axId val="92537216"/>
      </c:scatterChart>
      <c:valAx>
        <c:axId val="92244608"/>
        <c:scaling>
          <c:orientation val="minMax"/>
        </c:scaling>
        <c:axPos val="b"/>
        <c:numFmt formatCode="General" sourceLinked="1"/>
        <c:tickLblPos val="nextTo"/>
        <c:crossAx val="92537216"/>
        <c:crosses val="autoZero"/>
        <c:crossBetween val="midCat"/>
      </c:valAx>
      <c:valAx>
        <c:axId val="92537216"/>
        <c:scaling>
          <c:orientation val="minMax"/>
        </c:scaling>
        <c:axPos val="l"/>
        <c:majorGridlines/>
        <c:numFmt formatCode="0.00" sourceLinked="1"/>
        <c:tickLblPos val="nextTo"/>
        <c:crossAx val="92244608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Figure 16.19:  Long Strangle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Strategy!$P$6</c:f>
              <c:strCache>
                <c:ptCount val="1"/>
                <c:pt idx="0">
                  <c:v>Strangle</c:v>
                </c:pt>
              </c:strCache>
            </c:strRef>
          </c:tx>
          <c:marker>
            <c:symbol val="none"/>
          </c:marker>
          <c:xVal>
            <c:numRef>
              <c:f>Strategy!$A$7:$A$37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Strategy!$P$7:$P$37</c:f>
              <c:numCache>
                <c:formatCode>0.00</c:formatCode>
                <c:ptCount val="31"/>
                <c:pt idx="0">
                  <c:v>89.390846903611759</c:v>
                </c:pt>
                <c:pt idx="1">
                  <c:v>84.390846903611759</c:v>
                </c:pt>
                <c:pt idx="2">
                  <c:v>79.390846903611759</c:v>
                </c:pt>
                <c:pt idx="3">
                  <c:v>74.390846903611759</c:v>
                </c:pt>
                <c:pt idx="4">
                  <c:v>69.390846903611759</c:v>
                </c:pt>
                <c:pt idx="5">
                  <c:v>64.390846903611759</c:v>
                </c:pt>
                <c:pt idx="6">
                  <c:v>59.390846903611759</c:v>
                </c:pt>
                <c:pt idx="7">
                  <c:v>54.390846903611759</c:v>
                </c:pt>
                <c:pt idx="8">
                  <c:v>49.390846903611759</c:v>
                </c:pt>
                <c:pt idx="9">
                  <c:v>44.390846903611759</c:v>
                </c:pt>
                <c:pt idx="10">
                  <c:v>39.390846903611759</c:v>
                </c:pt>
                <c:pt idx="11">
                  <c:v>34.390846903611759</c:v>
                </c:pt>
                <c:pt idx="12">
                  <c:v>29.390846903611759</c:v>
                </c:pt>
                <c:pt idx="13">
                  <c:v>24.390846903611759</c:v>
                </c:pt>
                <c:pt idx="14">
                  <c:v>19.390846903611759</c:v>
                </c:pt>
                <c:pt idx="15">
                  <c:v>14.390846903611759</c:v>
                </c:pt>
                <c:pt idx="16">
                  <c:v>9.3908469036117594</c:v>
                </c:pt>
                <c:pt idx="17">
                  <c:v>4.3908469036117586</c:v>
                </c:pt>
                <c:pt idx="18">
                  <c:v>-0.609153096388241</c:v>
                </c:pt>
                <c:pt idx="19">
                  <c:v>-5.6091530963882406</c:v>
                </c:pt>
                <c:pt idx="20">
                  <c:v>-5.6091530963882406</c:v>
                </c:pt>
                <c:pt idx="21">
                  <c:v>-5.6091530963882406</c:v>
                </c:pt>
                <c:pt idx="22">
                  <c:v>-5.6091530963882406</c:v>
                </c:pt>
                <c:pt idx="23">
                  <c:v>-0.609153096388241</c:v>
                </c:pt>
                <c:pt idx="24">
                  <c:v>4.3908469036117594</c:v>
                </c:pt>
                <c:pt idx="25">
                  <c:v>9.3908469036117577</c:v>
                </c:pt>
                <c:pt idx="26">
                  <c:v>14.390846903611758</c:v>
                </c:pt>
                <c:pt idx="27">
                  <c:v>19.390846903611759</c:v>
                </c:pt>
                <c:pt idx="28">
                  <c:v>24.390846903611759</c:v>
                </c:pt>
                <c:pt idx="29">
                  <c:v>29.390846903611759</c:v>
                </c:pt>
                <c:pt idx="30">
                  <c:v>34.390846903611759</c:v>
                </c:pt>
              </c:numCache>
            </c:numRef>
          </c:yVal>
          <c:smooth val="1"/>
        </c:ser>
        <c:axId val="92581888"/>
        <c:axId val="92583424"/>
      </c:scatterChart>
      <c:valAx>
        <c:axId val="92581888"/>
        <c:scaling>
          <c:orientation val="minMax"/>
        </c:scaling>
        <c:axPos val="b"/>
        <c:numFmt formatCode="General" sourceLinked="1"/>
        <c:tickLblPos val="nextTo"/>
        <c:crossAx val="92583424"/>
        <c:crosses val="autoZero"/>
        <c:crossBetween val="midCat"/>
      </c:valAx>
      <c:valAx>
        <c:axId val="92583424"/>
        <c:scaling>
          <c:orientation val="minMax"/>
        </c:scaling>
        <c:axPos val="l"/>
        <c:majorGridlines/>
        <c:numFmt formatCode="0.00" sourceLinked="1"/>
        <c:tickLblPos val="nextTo"/>
        <c:crossAx val="92581888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171451</xdr:colOff>
      <xdr:row>3</xdr:row>
      <xdr:rowOff>123825</xdr:rowOff>
    </xdr:from>
    <xdr:to>
      <xdr:col>19</xdr:col>
      <xdr:colOff>152401</xdr:colOff>
      <xdr:row>8</xdr:row>
      <xdr:rowOff>85725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10020301" y="695325"/>
          <a:ext cx="1809750" cy="76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Solution when gold price is fixed at $278 and term structure is flat at 5.07% and cost of mining is $200/oz.</a:t>
          </a:r>
        </a:p>
      </xdr:txBody>
    </xdr:sp>
    <xdr:clientData/>
  </xdr:twoCellAnchor>
  <xdr:twoCellAnchor>
    <xdr:from>
      <xdr:col>0</xdr:col>
      <xdr:colOff>295275</xdr:colOff>
      <xdr:row>33</xdr:row>
      <xdr:rowOff>76200</xdr:rowOff>
    </xdr:from>
    <xdr:to>
      <xdr:col>0</xdr:col>
      <xdr:colOff>295275</xdr:colOff>
      <xdr:row>34</xdr:row>
      <xdr:rowOff>152400</xdr:rowOff>
    </xdr:to>
    <xdr:sp macro="" textlink="">
      <xdr:nvSpPr>
        <xdr:cNvPr id="3" name="Line 5"/>
        <xdr:cNvSpPr>
          <a:spLocks noChangeShapeType="1"/>
        </xdr:cNvSpPr>
      </xdr:nvSpPr>
      <xdr:spPr bwMode="auto">
        <a:xfrm flipV="1">
          <a:off x="295275" y="5657850"/>
          <a:ext cx="0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6</xdr:row>
      <xdr:rowOff>0</xdr:rowOff>
    </xdr:from>
    <xdr:to>
      <xdr:col>25</xdr:col>
      <xdr:colOff>114300</xdr:colOff>
      <xdr:row>16</xdr:row>
      <xdr:rowOff>123825</xdr:rowOff>
    </xdr:to>
    <xdr:sp macro="" textlink="">
      <xdr:nvSpPr>
        <xdr:cNvPr id="5" name="TextBox 4"/>
        <xdr:cNvSpPr txBox="1"/>
      </xdr:nvSpPr>
      <xdr:spPr>
        <a:xfrm>
          <a:off x="11058525" y="1181100"/>
          <a:ext cx="3771900" cy="2028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Instructions:   Row 4 values are LINKED - do not change!</a:t>
          </a:r>
        </a:p>
        <a:p>
          <a:endParaRPr lang="en-US" sz="1100"/>
        </a:p>
        <a:p>
          <a:r>
            <a:rPr lang="en-US" sz="1100"/>
            <a:t>Spot price is fixed</a:t>
          </a:r>
          <a:r>
            <a:rPr lang="en-US" sz="1100" baseline="0"/>
            <a:t> at S = 100 (see Option sheet)</a:t>
          </a:r>
        </a:p>
        <a:p>
          <a:r>
            <a:rPr lang="en-US" sz="1100" baseline="0"/>
            <a:t>Covered call  -- call strike at K1 </a:t>
          </a:r>
        </a:p>
        <a:p>
          <a:r>
            <a:rPr lang="en-US" sz="1100" baseline="0"/>
            <a:t>Protective put -- put strike at K1 (95) </a:t>
          </a:r>
        </a:p>
        <a:p>
          <a:r>
            <a:rPr lang="en-US" sz="1100" baseline="0"/>
            <a:t>Bull spread -- call strikes at K1, K2</a:t>
          </a:r>
        </a:p>
        <a:p>
          <a:r>
            <a:rPr lang="en-US" sz="1100" baseline="0"/>
            <a:t>Bear spread -- put strikes at K2, K1 </a:t>
          </a:r>
        </a:p>
        <a:p>
          <a:r>
            <a:rPr lang="en-US" sz="1100" baseline="0"/>
            <a:t>Collar -- long stock, long put at strike K2, short call at strike K2</a:t>
          </a:r>
        </a:p>
        <a:p>
          <a:r>
            <a:rPr lang="en-US" sz="1100" baseline="0"/>
            <a:t>Butterfly -- long calls at strikes K1, K3, two short calls at K2. </a:t>
          </a:r>
        </a:p>
        <a:p>
          <a:r>
            <a:rPr lang="en-US" sz="1100" baseline="0"/>
            <a:t>Synthetic put -- short stock, long call at K1.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304800</xdr:colOff>
      <xdr:row>46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7</xdr:col>
      <xdr:colOff>304800</xdr:colOff>
      <xdr:row>62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7</xdr:col>
      <xdr:colOff>304800</xdr:colOff>
      <xdr:row>78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30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7</xdr:col>
      <xdr:colOff>304800</xdr:colOff>
      <xdr:row>94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selection activeCell="I49" sqref="I49"/>
    </sheetView>
  </sheetViews>
  <sheetFormatPr defaultRowHeight="12.75"/>
  <cols>
    <col min="1" max="16384" width="9.140625" style="31"/>
  </cols>
  <sheetData>
    <row r="1" spans="1:16">
      <c r="A1" s="33" t="s">
        <v>0</v>
      </c>
      <c r="B1" s="33" t="s">
        <v>1</v>
      </c>
      <c r="C1" s="33" t="s">
        <v>2</v>
      </c>
      <c r="D1" s="33" t="s">
        <v>46</v>
      </c>
      <c r="E1" s="34" t="s">
        <v>5</v>
      </c>
      <c r="F1" s="33" t="s">
        <v>6</v>
      </c>
      <c r="G1" s="33" t="s">
        <v>7</v>
      </c>
      <c r="I1" s="33" t="s">
        <v>8</v>
      </c>
      <c r="J1" s="33" t="s">
        <v>9</v>
      </c>
      <c r="K1" s="33" t="s">
        <v>49</v>
      </c>
    </row>
    <row r="2" spans="1:16">
      <c r="A2" s="35">
        <f>EXP(J2*SQRT(1/K2))</f>
        <v>1.0594342369612506</v>
      </c>
      <c r="B2" s="35">
        <f>1/A2</f>
        <v>0.94390002240089543</v>
      </c>
      <c r="C2" s="35">
        <v>1</v>
      </c>
      <c r="D2" s="35">
        <v>0.9</v>
      </c>
      <c r="E2" s="31" t="s">
        <v>62</v>
      </c>
      <c r="F2" s="35">
        <f>1+G2/12</f>
        <v>1.0083333333333333</v>
      </c>
      <c r="G2" s="35">
        <v>0.1</v>
      </c>
      <c r="I2" s="35">
        <f>(F2-B2)/(A2-B2)</f>
        <v>0.55769895677767256</v>
      </c>
      <c r="J2" s="35">
        <v>0.2</v>
      </c>
      <c r="K2" s="35">
        <v>12</v>
      </c>
    </row>
    <row r="6" spans="1:16" ht="18.75">
      <c r="A6" s="36" t="s">
        <v>63</v>
      </c>
      <c r="B6" s="32"/>
      <c r="C6" s="32"/>
      <c r="D6" s="32"/>
      <c r="E6" s="32"/>
      <c r="F6" s="32"/>
      <c r="G6" s="36" t="s">
        <v>64</v>
      </c>
      <c r="H6" s="32"/>
      <c r="I6" s="32"/>
      <c r="J6" s="32"/>
      <c r="K6" s="32"/>
      <c r="L6" s="32"/>
    </row>
    <row r="7" spans="1:16">
      <c r="A7" s="32"/>
      <c r="B7" s="32"/>
      <c r="C7" s="32"/>
      <c r="D7" s="32"/>
      <c r="E7" s="32"/>
      <c r="F7" s="37">
        <f>MAX(L7-D2,0)</f>
        <v>0.43465807385667155</v>
      </c>
      <c r="G7" s="32"/>
      <c r="H7" s="32"/>
      <c r="I7" s="32"/>
      <c r="J7" s="32"/>
      <c r="K7" s="32"/>
      <c r="L7" s="37">
        <f>K8*A2</f>
        <v>1.3346580738566716</v>
      </c>
    </row>
    <row r="8" spans="1:16">
      <c r="A8" s="32"/>
      <c r="B8" s="32"/>
      <c r="C8" s="32"/>
      <c r="D8" s="32"/>
      <c r="E8" s="32">
        <f>1/F2*(I2*F7+(1-I2)*F9)</f>
        <v>0.36722180233977381</v>
      </c>
      <c r="F8" s="37"/>
      <c r="G8" s="32"/>
      <c r="H8" s="32"/>
      <c r="I8" s="32"/>
      <c r="J8" s="32"/>
      <c r="K8" s="32">
        <f>J9*A2</f>
        <v>1.2597837858108483</v>
      </c>
      <c r="L8" s="37"/>
    </row>
    <row r="9" spans="1:16">
      <c r="A9" s="32"/>
      <c r="B9" s="32"/>
      <c r="C9" s="32"/>
      <c r="D9" s="32">
        <f>1/F2*(I2*E8+(1-I2)*E10)</f>
        <v>0.30392450549401284</v>
      </c>
      <c r="E9" s="32"/>
      <c r="F9" s="37">
        <f>MAX(L9-D2,0)</f>
        <v>0.2891099436471446</v>
      </c>
      <c r="G9" s="32"/>
      <c r="H9" s="32"/>
      <c r="I9" s="32"/>
      <c r="J9" s="32">
        <f>I10*A2</f>
        <v>1.1891099436471446</v>
      </c>
      <c r="K9" s="32"/>
      <c r="L9" s="37">
        <f>K10*A2</f>
        <v>1.1891099436471446</v>
      </c>
    </row>
    <row r="10" spans="1:16">
      <c r="A10" s="32"/>
      <c r="B10" s="32"/>
      <c r="C10" s="32">
        <f>1/F2*(I2*D9+(1-I2)*D11)</f>
        <v>0.24453104642603249</v>
      </c>
      <c r="D10" s="32"/>
      <c r="E10" s="32">
        <f>1/F2*(I2*F9+(1-I2)*F11)</f>
        <v>0.22983891897459288</v>
      </c>
      <c r="F10" s="37"/>
      <c r="G10" s="32"/>
      <c r="H10" s="32"/>
      <c r="I10" s="32">
        <f>H11*A2</f>
        <v>1.1224009024456674</v>
      </c>
      <c r="J10" s="32"/>
      <c r="K10" s="32">
        <f>J9*B2</f>
        <v>1.1224009024456674</v>
      </c>
      <c r="L10" s="37"/>
    </row>
    <row r="11" spans="1:16">
      <c r="A11" s="32"/>
      <c r="B11" s="32">
        <f>1/F2*(I2*C10+(1-I2)*C12)</f>
        <v>0.19100506988385088</v>
      </c>
      <c r="C11" s="32"/>
      <c r="D11" s="32">
        <f>1/F2*(I2*E10+(1-I2)*E12)</f>
        <v>0.17424879880811892</v>
      </c>
      <c r="E11" s="32"/>
      <c r="F11" s="37">
        <f>MAX(L11-D2,0)</f>
        <v>0.15943423696125059</v>
      </c>
      <c r="G11" s="32"/>
      <c r="H11" s="32">
        <f>G12*A2</f>
        <v>1.0594342369612506</v>
      </c>
      <c r="I11" s="32"/>
      <c r="J11" s="32">
        <f>I12*A2</f>
        <v>1.0594342369612506</v>
      </c>
      <c r="K11" s="32"/>
      <c r="L11" s="37">
        <f>K12*A2</f>
        <v>1.0594342369612506</v>
      </c>
    </row>
    <row r="12" spans="1:16">
      <c r="A12" s="30">
        <f>1/F2*(I2*B11+(1-I2)*B13)</f>
        <v>0.1450724970603397</v>
      </c>
      <c r="B12" s="32"/>
      <c r="C12" s="32">
        <f>1/F2*(I2*D11+(1-I2)*D13)</f>
        <v>0.1271126762405986</v>
      </c>
      <c r="D12" s="32"/>
      <c r="E12" s="32">
        <f>1/F2*(I2*F11+(1-I2)*F13)</f>
        <v>0.10743801652892557</v>
      </c>
      <c r="F12" s="37"/>
      <c r="G12" s="32">
        <f>C2</f>
        <v>1</v>
      </c>
      <c r="H12" s="32"/>
      <c r="I12" s="32">
        <f>H11*B2</f>
        <v>1</v>
      </c>
      <c r="J12" s="32"/>
      <c r="K12" s="32">
        <f>J11*B2</f>
        <v>1</v>
      </c>
      <c r="L12" s="37"/>
    </row>
    <row r="13" spans="1:16">
      <c r="A13" s="32"/>
      <c r="B13" s="32">
        <f>1/F2*(I2*C12+(1-I2)*C14)</f>
        <v>8.9889243834289617E-2</v>
      </c>
      <c r="C13" s="32"/>
      <c r="D13" s="32">
        <f>1/F2*(I2*E12+(1-I2)*E14)</f>
        <v>7.0073484343951373E-2</v>
      </c>
      <c r="E13" s="32"/>
      <c r="F13" s="37">
        <f>MAX(L13-D2,0)</f>
        <v>4.3900022400895411E-2</v>
      </c>
      <c r="G13" s="32"/>
      <c r="H13" s="32">
        <f>G12*B2</f>
        <v>0.94390002240089543</v>
      </c>
      <c r="I13" s="32"/>
      <c r="J13" s="32">
        <f>I14*A2</f>
        <v>0.94390002240089543</v>
      </c>
      <c r="K13" s="32"/>
      <c r="L13" s="37">
        <f>K14*A2</f>
        <v>0.94390002240089543</v>
      </c>
    </row>
    <row r="14" spans="1:16">
      <c r="A14" s="32"/>
      <c r="B14" s="32"/>
      <c r="C14" s="32">
        <f>1/F2*(I2*D13+(1-I2)*D15)</f>
        <v>4.4647676590976862E-2</v>
      </c>
      <c r="D14" s="32"/>
      <c r="E14" s="32">
        <f>1/F2*(I2*F13+(1-I2)*F15)</f>
        <v>2.4280657879830574E-2</v>
      </c>
      <c r="F14" s="37"/>
      <c r="G14" s="32"/>
      <c r="H14" s="32"/>
      <c r="I14" s="32">
        <f>H13*B2</f>
        <v>0.89094725228841087</v>
      </c>
      <c r="J14" s="32"/>
      <c r="K14" s="32">
        <f>J13*B2</f>
        <v>0.89094725228841087</v>
      </c>
      <c r="L14" s="37"/>
    </row>
    <row r="15" spans="1:16">
      <c r="A15" s="32"/>
      <c r="B15" s="32"/>
      <c r="C15" s="32" t="s">
        <v>5</v>
      </c>
      <c r="D15" s="32">
        <f>1/F2*(I2*E14+(1-I2)*E16)</f>
        <v>1.3429386019296285E-2</v>
      </c>
      <c r="E15" s="32"/>
      <c r="F15" s="37">
        <f>MAX(L15-D2,0)</f>
        <v>0</v>
      </c>
      <c r="G15" s="32"/>
      <c r="H15" s="32"/>
      <c r="I15" s="32"/>
      <c r="J15" s="32">
        <f>I14*B2</f>
        <v>0.84096513139304729</v>
      </c>
      <c r="K15" s="32"/>
      <c r="L15" s="37">
        <f>K16*A2</f>
        <v>0.84096513139304729</v>
      </c>
    </row>
    <row r="16" spans="1:16">
      <c r="A16" s="32"/>
      <c r="B16" s="32" t="s">
        <v>5</v>
      </c>
      <c r="C16" s="32"/>
      <c r="D16" s="32"/>
      <c r="E16" s="32">
        <f>1/F2*(I2*F15+(1-I2)*F17)</f>
        <v>0</v>
      </c>
      <c r="F16" s="37"/>
      <c r="G16" s="32"/>
      <c r="H16" s="32"/>
      <c r="I16" s="32"/>
      <c r="J16" s="32"/>
      <c r="K16" s="32">
        <f>J15*B2</f>
        <v>0.79378700636026933</v>
      </c>
      <c r="L16" s="37"/>
      <c r="O16" s="38" t="s">
        <v>65</v>
      </c>
      <c r="P16" s="39">
        <f>(LN(C2/D2)+ (G2+0.5*J2^2)*(5/12))/(J2*SQRT(5/12))</f>
        <v>1.2034173796019161</v>
      </c>
    </row>
    <row r="17" spans="1:17" ht="15.75">
      <c r="A17" s="32"/>
      <c r="B17" s="32"/>
      <c r="C17" s="32" t="s">
        <v>5</v>
      </c>
      <c r="D17" s="32"/>
      <c r="E17" s="32"/>
      <c r="F17" s="37">
        <f>MAX(L17-D2,0)</f>
        <v>0</v>
      </c>
      <c r="G17" s="32"/>
      <c r="H17" s="32"/>
      <c r="I17" s="32"/>
      <c r="J17" s="32"/>
      <c r="K17" s="32"/>
      <c r="L17" s="37">
        <f>K16*B2</f>
        <v>0.74925557308499791</v>
      </c>
      <c r="O17" s="40" t="s">
        <v>66</v>
      </c>
      <c r="P17" s="41">
        <f>P16-J2*SQRT(5/12)</f>
        <v>1.0743179347283356</v>
      </c>
      <c r="Q17" s="42" t="s">
        <v>67</v>
      </c>
    </row>
    <row r="18" spans="1:17">
      <c r="A18" s="32" t="s">
        <v>5</v>
      </c>
      <c r="B18" s="32"/>
      <c r="C18" s="32" t="s">
        <v>5</v>
      </c>
      <c r="D18" s="32"/>
      <c r="E18" s="32"/>
      <c r="F18" s="32"/>
      <c r="G18" s="32"/>
      <c r="H18" s="32"/>
      <c r="I18" s="32"/>
      <c r="J18" s="32"/>
      <c r="K18" s="32"/>
      <c r="L18" s="32"/>
      <c r="O18" s="40" t="s">
        <v>68</v>
      </c>
      <c r="P18" s="41">
        <f>NORMSDIST(P16)</f>
        <v>0.88559257713279393</v>
      </c>
    </row>
    <row r="19" spans="1:17">
      <c r="A19" s="32"/>
      <c r="B19" s="32"/>
      <c r="C19" s="32" t="s">
        <v>5</v>
      </c>
      <c r="D19" s="32"/>
      <c r="E19" s="32"/>
      <c r="F19" s="32"/>
      <c r="G19" s="32"/>
      <c r="H19" s="32"/>
      <c r="I19" s="32"/>
      <c r="J19" s="32"/>
      <c r="K19" s="32"/>
      <c r="L19" s="32"/>
      <c r="O19" s="40" t="s">
        <v>69</v>
      </c>
      <c r="P19" s="41">
        <f>NORMSDIST(P17)</f>
        <v>0.85865989526182207</v>
      </c>
    </row>
    <row r="20" spans="1:17">
      <c r="O20" s="43" t="s">
        <v>60</v>
      </c>
      <c r="P20" s="44">
        <f>C2*P18-D2*(EXP(-G2*5/12))*P19</f>
        <v>0.14433681023297495</v>
      </c>
    </row>
    <row r="22" spans="1:17">
      <c r="F22" s="45" t="s">
        <v>70</v>
      </c>
    </row>
    <row r="23" spans="1:17">
      <c r="A23" s="32"/>
      <c r="B23" s="32" t="s">
        <v>5</v>
      </c>
      <c r="C23" s="46" t="s">
        <v>71</v>
      </c>
      <c r="D23" s="47"/>
      <c r="E23" s="32"/>
      <c r="F23" s="32"/>
      <c r="G23" s="32"/>
      <c r="H23" s="47"/>
      <c r="I23" s="48" t="s">
        <v>72</v>
      </c>
      <c r="J23" s="47"/>
      <c r="K23" s="32"/>
      <c r="L23" s="32"/>
    </row>
    <row r="24" spans="1:17">
      <c r="A24" s="49">
        <v>0</v>
      </c>
      <c r="B24" s="49">
        <v>1</v>
      </c>
      <c r="C24" s="49">
        <v>2</v>
      </c>
      <c r="D24" s="49">
        <v>3</v>
      </c>
      <c r="E24" s="49">
        <v>4</v>
      </c>
      <c r="F24" s="49">
        <v>5</v>
      </c>
      <c r="G24" s="49">
        <v>0</v>
      </c>
      <c r="H24" s="49">
        <v>1</v>
      </c>
      <c r="I24" s="49">
        <v>2</v>
      </c>
      <c r="J24" s="49">
        <v>3</v>
      </c>
      <c r="K24" s="49">
        <v>4</v>
      </c>
      <c r="L24" s="49">
        <v>5</v>
      </c>
    </row>
    <row r="25" spans="1:17">
      <c r="A25" s="32">
        <f>1/$F$2*($I$2*B25+(1-$I$2)*B26)</f>
        <v>0.1450724970603397</v>
      </c>
      <c r="B25" s="32">
        <f>1/$F$2*($I$2*C25+(1-$I$2)*C26)</f>
        <v>0.19100506988385088</v>
      </c>
      <c r="C25" s="32">
        <f>1/$F$2*($I$2*D25+(1-$I$2)*D26)</f>
        <v>0.24453104642603249</v>
      </c>
      <c r="D25" s="32">
        <f>1/$F$2*($I$2*E25+(1-$I$2)*E26)</f>
        <v>0.30392450549401284</v>
      </c>
      <c r="E25" s="32">
        <f>1/$F$2*($I$2*F25+(1-$I$2)*F26)</f>
        <v>0.36722180233977381</v>
      </c>
      <c r="F25" s="37">
        <f t="shared" ref="F25:F30" si="0">MAX(L25-$D$2,0)</f>
        <v>0.43465807385667155</v>
      </c>
      <c r="G25" s="32">
        <f>C2</f>
        <v>1</v>
      </c>
      <c r="H25" s="32">
        <f>G25*$A$2</f>
        <v>1.0594342369612506</v>
      </c>
      <c r="I25" s="32">
        <f>H25*$A$2</f>
        <v>1.1224009024456674</v>
      </c>
      <c r="J25" s="32">
        <f>I25*$A$2</f>
        <v>1.1891099436471446</v>
      </c>
      <c r="K25" s="32">
        <f>J25*$A$2</f>
        <v>1.2597837858108483</v>
      </c>
      <c r="L25" s="37">
        <f>K25*$A$2</f>
        <v>1.3346580738566716</v>
      </c>
    </row>
    <row r="26" spans="1:17">
      <c r="A26" s="32"/>
      <c r="B26" s="32">
        <f>1/$F$2*($I$2*C26+(1-$I$2)*C27)</f>
        <v>8.9889243834289617E-2</v>
      </c>
      <c r="C26" s="32">
        <f>1/$F$2*($I$2*D26+(1-$I$2)*D27)</f>
        <v>0.1271126762405986</v>
      </c>
      <c r="D26" s="32">
        <f>1/$F$2*($I$2*E26+(1-$I$2)*E27)</f>
        <v>0.17424879880811892</v>
      </c>
      <c r="E26" s="32">
        <f>1/$F$2*($I$2*F26+(1-$I$2)*F27)</f>
        <v>0.22983891897459288</v>
      </c>
      <c r="F26" s="37">
        <f t="shared" si="0"/>
        <v>0.2891099436471446</v>
      </c>
      <c r="G26" s="32"/>
      <c r="H26" s="32">
        <f>G25*B2</f>
        <v>0.94390002240089543</v>
      </c>
      <c r="I26" s="32">
        <f>H26*$A$2</f>
        <v>1</v>
      </c>
      <c r="J26" s="32">
        <f>I26*$A$2</f>
        <v>1.0594342369612506</v>
      </c>
      <c r="K26" s="32">
        <f>J26*$A$2</f>
        <v>1.1224009024456674</v>
      </c>
      <c r="L26" s="37">
        <f>K26*$A$2</f>
        <v>1.1891099436471446</v>
      </c>
    </row>
    <row r="27" spans="1:17">
      <c r="A27" s="32"/>
      <c r="B27" s="32"/>
      <c r="C27" s="32">
        <f>1/$F$2*($I$2*D27+(1-$I$2)*D28)</f>
        <v>4.4647676590976862E-2</v>
      </c>
      <c r="D27" s="32">
        <f>1/$F$2*($I$2*E27+(1-$I$2)*E28)</f>
        <v>7.0073484343951373E-2</v>
      </c>
      <c r="E27" s="32">
        <f>1/$F$2*($I$2*F27+(1-$I$2)*F28)</f>
        <v>0.10743801652892557</v>
      </c>
      <c r="F27" s="37">
        <f t="shared" si="0"/>
        <v>0.15943423696125059</v>
      </c>
      <c r="G27" s="32"/>
      <c r="H27" s="32"/>
      <c r="I27" s="32">
        <f>H26*B2</f>
        <v>0.89094725228841087</v>
      </c>
      <c r="J27" s="32">
        <f>I27*$A$2</f>
        <v>0.94390002240089543</v>
      </c>
      <c r="K27" s="32">
        <f>J27*$A$2</f>
        <v>1</v>
      </c>
      <c r="L27" s="37">
        <f>K27*$A$2</f>
        <v>1.0594342369612506</v>
      </c>
    </row>
    <row r="28" spans="1:17">
      <c r="A28" s="32"/>
      <c r="B28" s="32"/>
      <c r="C28" s="32"/>
      <c r="D28" s="32">
        <f>1/$F$2*($I$2*E28+(1-$I$2)*E29)</f>
        <v>1.3429386019296285E-2</v>
      </c>
      <c r="E28" s="32">
        <f>1/$F$2*($I$2*F28+(1-$I$2)*F29)</f>
        <v>2.4280657879830574E-2</v>
      </c>
      <c r="F28" s="37">
        <f t="shared" si="0"/>
        <v>4.3900022400895411E-2</v>
      </c>
      <c r="G28" s="32"/>
      <c r="H28" s="32"/>
      <c r="I28" s="32"/>
      <c r="J28" s="32">
        <f>I27*B2</f>
        <v>0.84096513139304729</v>
      </c>
      <c r="K28" s="32">
        <f>J28*$A$2</f>
        <v>0.89094725228841087</v>
      </c>
      <c r="L28" s="37">
        <f>K28*$A$2</f>
        <v>0.94390002240089543</v>
      </c>
    </row>
    <row r="29" spans="1:17">
      <c r="A29" s="32"/>
      <c r="B29" s="32"/>
      <c r="C29" s="32"/>
      <c r="D29" s="32"/>
      <c r="E29" s="32">
        <f>1/$F$2*($I$2*F29+(1-$I$2)*F30)</f>
        <v>0</v>
      </c>
      <c r="F29" s="37">
        <f t="shared" si="0"/>
        <v>0</v>
      </c>
      <c r="G29" s="32"/>
      <c r="H29" s="32"/>
      <c r="I29" s="32"/>
      <c r="J29" s="32"/>
      <c r="K29" s="32">
        <f>J28*B2</f>
        <v>0.79378700636026933</v>
      </c>
      <c r="L29" s="37">
        <f>K29*$A$2</f>
        <v>0.84096513139304729</v>
      </c>
    </row>
    <row r="30" spans="1:17">
      <c r="A30" s="32"/>
      <c r="B30" s="32"/>
      <c r="C30" s="32"/>
      <c r="D30" s="32"/>
      <c r="E30" s="32"/>
      <c r="F30" s="37">
        <f t="shared" si="0"/>
        <v>0</v>
      </c>
      <c r="G30" s="32"/>
      <c r="H30" s="32"/>
      <c r="I30" s="32"/>
      <c r="J30" s="32"/>
      <c r="K30" s="32"/>
      <c r="L30" s="37">
        <f>K29*B2</f>
        <v>0.74925557308499791</v>
      </c>
    </row>
    <row r="31" spans="1:17">
      <c r="D31" s="32"/>
    </row>
    <row r="34" spans="2:15"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</row>
    <row r="35" spans="2:15"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</row>
    <row r="36" spans="2:15"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</row>
    <row r="37" spans="2:15"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</row>
    <row r="38" spans="2:15"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</row>
    <row r="39" spans="2:15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</row>
    <row r="40" spans="2:15"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</row>
    <row r="41" spans="2:15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</row>
    <row r="42" spans="2:15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</row>
    <row r="43" spans="2:15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</row>
    <row r="44" spans="2:15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</row>
    <row r="45" spans="2:15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</row>
    <row r="46" spans="2:15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</row>
    <row r="47" spans="2:15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</row>
    <row r="48" spans="2:15"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</row>
    <row r="49" spans="2:15"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1"/>
  <sheetViews>
    <sheetView workbookViewId="0">
      <selection activeCell="C51" sqref="C51"/>
    </sheetView>
  </sheetViews>
  <sheetFormatPr defaultRowHeight="12.75"/>
  <cols>
    <col min="1" max="16384" width="9.140625" style="31"/>
  </cols>
  <sheetData>
    <row r="1" spans="1:16">
      <c r="A1" s="33" t="s">
        <v>0</v>
      </c>
      <c r="B1" s="33" t="s">
        <v>1</v>
      </c>
      <c r="C1" s="33" t="s">
        <v>2</v>
      </c>
      <c r="D1" s="33" t="s">
        <v>46</v>
      </c>
      <c r="E1" s="34" t="s">
        <v>5</v>
      </c>
      <c r="F1" s="33" t="s">
        <v>6</v>
      </c>
      <c r="G1" s="33" t="s">
        <v>7</v>
      </c>
      <c r="I1" s="33" t="s">
        <v>8</v>
      </c>
      <c r="J1" s="33" t="s">
        <v>9</v>
      </c>
      <c r="K1" s="33" t="s">
        <v>49</v>
      </c>
    </row>
    <row r="2" spans="1:16">
      <c r="A2" s="35">
        <f>EXP(J2*SQRT(1/K2))</f>
        <v>1.0594342369612506</v>
      </c>
      <c r="B2" s="35">
        <f>1/A2</f>
        <v>0.94390002240089543</v>
      </c>
      <c r="C2" s="35">
        <v>1</v>
      </c>
      <c r="D2" s="35">
        <v>0.9</v>
      </c>
      <c r="E2" s="31" t="s">
        <v>62</v>
      </c>
      <c r="F2" s="35">
        <f>1+G2/12</f>
        <v>1.0083333333333333</v>
      </c>
      <c r="G2" s="35">
        <v>0.1</v>
      </c>
      <c r="I2" s="35">
        <f>(F2-B2)/(A2-B2)</f>
        <v>0.55769895677767256</v>
      </c>
      <c r="J2" s="35">
        <v>0.2</v>
      </c>
      <c r="K2" s="35">
        <v>12</v>
      </c>
    </row>
    <row r="5" spans="1:16">
      <c r="A5" s="50"/>
      <c r="B5" s="50"/>
    </row>
    <row r="6" spans="1:16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</row>
    <row r="7" spans="1:16">
      <c r="A7" s="32"/>
      <c r="B7" s="32"/>
      <c r="C7" s="32"/>
      <c r="D7" s="32"/>
      <c r="E7" s="32"/>
      <c r="F7" s="32">
        <f>MAX(D2-L7,0)</f>
        <v>0</v>
      </c>
      <c r="G7" s="32"/>
      <c r="H7" s="32"/>
      <c r="I7" s="32"/>
      <c r="J7" s="32"/>
      <c r="K7" s="32"/>
      <c r="L7" s="32">
        <f>K8*A2</f>
        <v>1.3346580738566716</v>
      </c>
    </row>
    <row r="8" spans="1:16">
      <c r="A8" s="32"/>
      <c r="B8" s="32"/>
      <c r="C8" s="32"/>
      <c r="D8" s="32"/>
      <c r="E8" s="32">
        <f>MAX(1/F2*(I2*F7+(1-I2)*F9),D2-K8)</f>
        <v>0</v>
      </c>
      <c r="F8" s="32"/>
      <c r="G8" s="32"/>
      <c r="H8" s="32"/>
      <c r="I8" s="32"/>
      <c r="J8" s="32"/>
      <c r="K8" s="32">
        <f>J9*A2</f>
        <v>1.2597837858108483</v>
      </c>
      <c r="L8" s="32"/>
    </row>
    <row r="9" spans="1:16">
      <c r="A9" s="32"/>
      <c r="B9" s="32"/>
      <c r="C9" s="32"/>
      <c r="D9" s="32">
        <f>1/F2*(I2*E8+(1-I2)*E10)</f>
        <v>0</v>
      </c>
      <c r="E9" s="32"/>
      <c r="F9" s="32">
        <f>MAX( D2-L9,0)</f>
        <v>0</v>
      </c>
      <c r="G9" s="32"/>
      <c r="H9" s="32"/>
      <c r="I9" s="32"/>
      <c r="J9" s="32">
        <f>I10*A2</f>
        <v>1.1891099436471446</v>
      </c>
      <c r="K9" s="32"/>
      <c r="L9" s="32">
        <f>K10*A2</f>
        <v>1.1891099436471446</v>
      </c>
    </row>
    <row r="10" spans="1:16">
      <c r="A10" s="32"/>
      <c r="B10" s="32"/>
      <c r="C10" s="32">
        <f>MAX(1/F2*(I2*D9+(1-I2)*D11),D2-I10)</f>
        <v>0</v>
      </c>
      <c r="D10" s="32"/>
      <c r="E10" s="32">
        <f>MAX(1/F2*(I2*F9+(1-I2)*F11),D2-K10)</f>
        <v>0</v>
      </c>
      <c r="F10" s="32"/>
      <c r="G10" s="32"/>
      <c r="H10" s="32"/>
      <c r="I10" s="32">
        <f>H11*A2</f>
        <v>1.1224009024456674</v>
      </c>
      <c r="J10" s="32"/>
      <c r="K10" s="32">
        <f>J9*B2</f>
        <v>1.1224009024456674</v>
      </c>
      <c r="L10" s="32"/>
    </row>
    <row r="11" spans="1:16">
      <c r="A11" s="32"/>
      <c r="B11" s="32">
        <f>MAX(1/F2*(I2*C10+(1-I2)*C12),D2-H11)</f>
        <v>2.1855661652133438E-3</v>
      </c>
      <c r="C11" s="32"/>
      <c r="D11" s="32">
        <f>MAX(1/F2*(I2*E10+(1-I2)*E12),D2-J11)</f>
        <v>0</v>
      </c>
      <c r="E11" s="32"/>
      <c r="F11" s="32">
        <f>MAX(D2-L11,0)</f>
        <v>0</v>
      </c>
      <c r="G11" s="32"/>
      <c r="H11" s="32">
        <f>G12*A2</f>
        <v>1.0594342369612506</v>
      </c>
      <c r="I11" s="32"/>
      <c r="J11" s="32">
        <f>I12*A2</f>
        <v>1.0594342369612506</v>
      </c>
      <c r="K11" s="32"/>
      <c r="L11" s="32">
        <f>K12*A2</f>
        <v>1.0594342369612506</v>
      </c>
    </row>
    <row r="12" spans="1:16">
      <c r="A12" s="32">
        <f>1/F2*(I2*B11+(1-I2)*B13)</f>
        <v>8.767434601097664E-3</v>
      </c>
      <c r="B12" s="32"/>
      <c r="C12" s="32">
        <f>MAX(1/F2*(I2*D11+(1-I2)*D13),D2-I12)</f>
        <v>4.9825322602333718E-3</v>
      </c>
      <c r="D12" s="32"/>
      <c r="E12" s="32">
        <f>MAX(1/F2*(I2*F11+(1-I2)*F13),D2-K12)</f>
        <v>0</v>
      </c>
      <c r="F12" s="32"/>
      <c r="G12" s="32">
        <f>C2</f>
        <v>1</v>
      </c>
      <c r="H12" s="32"/>
      <c r="I12" s="32">
        <f>H11*B2</f>
        <v>1</v>
      </c>
      <c r="J12" s="32"/>
      <c r="K12" s="32">
        <f>J11*B2</f>
        <v>1</v>
      </c>
      <c r="L12" s="32"/>
    </row>
    <row r="13" spans="1:16">
      <c r="A13" s="32"/>
      <c r="B13" s="32">
        <f>MAX(1/F2*(I2*C12+(1-I2)*C14),D2-H13)</f>
        <v>1.7231721929192166E-2</v>
      </c>
      <c r="C13" s="32"/>
      <c r="D13" s="32">
        <f>MAX(1/F2*(I2*E12+(1-I2)*E14),D2-J13)</f>
        <v>1.1358900096187627E-2</v>
      </c>
      <c r="E13" s="32"/>
      <c r="F13" s="32">
        <f>MAX( D2-L13,0)</f>
        <v>0</v>
      </c>
      <c r="G13" s="32"/>
      <c r="H13" s="32">
        <f>G12*B2</f>
        <v>0.94390002240089543</v>
      </c>
      <c r="I13" s="32"/>
      <c r="J13" s="32">
        <f>I14*A2</f>
        <v>0.94390002240089543</v>
      </c>
      <c r="K13" s="32"/>
      <c r="L13" s="32">
        <f>K14*A2</f>
        <v>0.94390002240089543</v>
      </c>
    </row>
    <row r="14" spans="1:16">
      <c r="A14" s="32"/>
      <c r="B14" s="32"/>
      <c r="C14" s="32">
        <f>MAX(1/F2*(I2*D13+(1-I2)*D15),D2-I14)</f>
        <v>3.3001429211992749E-2</v>
      </c>
      <c r="D14" s="32"/>
      <c r="E14" s="32">
        <f>MAX(1/F2*(I2*F13+(1-I2)*F15), D2-K14)</f>
        <v>2.5895389062494105E-2</v>
      </c>
      <c r="F14" s="32"/>
      <c r="G14" s="32"/>
      <c r="H14" s="32"/>
      <c r="I14" s="32">
        <f>H13*B2</f>
        <v>0.89094725228841087</v>
      </c>
      <c r="J14" s="32"/>
      <c r="K14" s="32">
        <f>J13*B2</f>
        <v>0.89094725228841087</v>
      </c>
      <c r="L14" s="32"/>
    </row>
    <row r="15" spans="1:16">
      <c r="A15" s="32"/>
      <c r="B15" s="32"/>
      <c r="C15" s="32" t="s">
        <v>5</v>
      </c>
      <c r="D15" s="32">
        <f>MAX(1/F2*(I2*E14+(1-I2)*E16),D2-J15)</f>
        <v>6.0912346468883535E-2</v>
      </c>
      <c r="E15" s="32"/>
      <c r="F15" s="32">
        <f>MAX( D2-L15,0)</f>
        <v>5.9034868606952728E-2</v>
      </c>
      <c r="G15" s="32"/>
      <c r="H15" s="32"/>
      <c r="I15" s="32"/>
      <c r="J15" s="32">
        <f>I14*B2</f>
        <v>0.84096513139304729</v>
      </c>
      <c r="K15" s="32"/>
      <c r="L15" s="32">
        <f>K16*A2</f>
        <v>0.84096513139304729</v>
      </c>
    </row>
    <row r="16" spans="1:16">
      <c r="A16" s="32"/>
      <c r="B16" s="32" t="s">
        <v>5</v>
      </c>
      <c r="C16" s="32"/>
      <c r="D16" s="32"/>
      <c r="E16" s="32">
        <f>MAX(1/F2*(I2*F15+(1-I2)*F17),D2-K16)</f>
        <v>0.10621299363973069</v>
      </c>
      <c r="F16" s="32"/>
      <c r="G16" s="32"/>
      <c r="H16" s="32"/>
      <c r="I16" s="32"/>
      <c r="J16" s="32"/>
      <c r="K16" s="32">
        <f>J15*B2</f>
        <v>0.79378700636026933</v>
      </c>
      <c r="L16" s="32"/>
      <c r="O16" s="38" t="s">
        <v>65</v>
      </c>
      <c r="P16" s="39">
        <f>(LN(C2/D2)+ (G2+0.5*J2^2)*(5/12))/(J2*SQRT(5/12))</f>
        <v>1.2034173796019161</v>
      </c>
    </row>
    <row r="17" spans="1:17" ht="15.75">
      <c r="A17" s="32"/>
      <c r="B17" s="32"/>
      <c r="C17" s="32" t="s">
        <v>5</v>
      </c>
      <c r="D17" s="32"/>
      <c r="E17" s="32"/>
      <c r="F17" s="32">
        <f>MAX( D2-L17,0)</f>
        <v>0.15074442691500212</v>
      </c>
      <c r="G17" s="32"/>
      <c r="H17" s="32"/>
      <c r="I17" s="32"/>
      <c r="J17" s="32"/>
      <c r="K17" s="32"/>
      <c r="L17" s="32">
        <f>K16*B2</f>
        <v>0.74925557308499791</v>
      </c>
      <c r="O17" s="40" t="s">
        <v>66</v>
      </c>
      <c r="P17" s="41">
        <f>P16-J2*SQRT(5/12)</f>
        <v>1.0743179347283356</v>
      </c>
      <c r="Q17" s="42" t="s">
        <v>67</v>
      </c>
    </row>
    <row r="18" spans="1:17">
      <c r="A18" s="32" t="s">
        <v>5</v>
      </c>
      <c r="B18" s="32"/>
      <c r="C18" s="32" t="s">
        <v>5</v>
      </c>
      <c r="D18" s="32"/>
      <c r="E18" s="32"/>
      <c r="F18" s="32"/>
      <c r="G18" s="32"/>
      <c r="H18" s="32"/>
      <c r="I18" s="32"/>
      <c r="J18" s="32"/>
      <c r="K18" s="32"/>
      <c r="L18" s="32"/>
      <c r="O18" s="40" t="s">
        <v>68</v>
      </c>
      <c r="P18" s="41">
        <f>NORMSDIST(-P16)</f>
        <v>0.11440742286720607</v>
      </c>
    </row>
    <row r="19" spans="1:17">
      <c r="A19" s="32"/>
      <c r="B19" s="32"/>
      <c r="C19" s="32" t="s">
        <v>5</v>
      </c>
      <c r="D19" s="32"/>
      <c r="E19" s="32"/>
      <c r="F19" s="32"/>
      <c r="G19" s="32"/>
      <c r="H19" s="32"/>
      <c r="I19" s="32"/>
      <c r="J19" s="32"/>
      <c r="K19" s="32"/>
      <c r="L19" s="32"/>
      <c r="O19" s="40" t="s">
        <v>69</v>
      </c>
      <c r="P19" s="41">
        <f>NORMSDIST(-P17)</f>
        <v>0.14134010473817793</v>
      </c>
    </row>
    <row r="20" spans="1:17">
      <c r="L20" s="32"/>
      <c r="O20" s="43" t="s">
        <v>61</v>
      </c>
      <c r="P20" s="44">
        <f>D2*EXP(-G2/12*5/12)*P19 - C2*P18</f>
        <v>1.2357749502239612E-2</v>
      </c>
    </row>
    <row r="21" spans="1:17">
      <c r="A21" s="32"/>
      <c r="B21" s="32"/>
      <c r="C21" s="32" t="s">
        <v>5</v>
      </c>
      <c r="D21" s="32"/>
      <c r="E21" s="32"/>
      <c r="F21" s="32"/>
      <c r="G21" s="32"/>
      <c r="H21" s="32"/>
      <c r="I21" s="32"/>
      <c r="J21" s="32"/>
      <c r="K21" s="32"/>
      <c r="L21" s="32"/>
    </row>
    <row r="22" spans="1:17" ht="18.75">
      <c r="A22" s="36" t="s">
        <v>73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</row>
    <row r="23" spans="1:17">
      <c r="A23" s="32"/>
      <c r="B23" s="32" t="s">
        <v>5</v>
      </c>
      <c r="C23" s="47"/>
      <c r="D23" s="47" t="s">
        <v>74</v>
      </c>
      <c r="E23" s="32"/>
      <c r="F23" s="32"/>
      <c r="G23" s="32"/>
      <c r="H23" s="47"/>
      <c r="I23" s="47"/>
      <c r="J23" s="47" t="s">
        <v>75</v>
      </c>
      <c r="K23" s="32"/>
      <c r="L23" s="32"/>
    </row>
    <row r="24" spans="1:17">
      <c r="A24" s="49">
        <v>0</v>
      </c>
      <c r="B24" s="49">
        <v>1</v>
      </c>
      <c r="C24" s="49">
        <v>2</v>
      </c>
      <c r="D24" s="49">
        <v>3</v>
      </c>
      <c r="E24" s="49">
        <v>4</v>
      </c>
      <c r="F24" s="49">
        <v>5</v>
      </c>
      <c r="G24" s="49">
        <v>0</v>
      </c>
      <c r="H24" s="49">
        <v>1</v>
      </c>
      <c r="I24" s="49">
        <v>2</v>
      </c>
      <c r="J24" s="49">
        <v>3</v>
      </c>
      <c r="K24" s="49">
        <v>4</v>
      </c>
      <c r="L24" s="49">
        <v>5</v>
      </c>
    </row>
    <row r="25" spans="1:17">
      <c r="A25" s="32">
        <f>1/$F$2*($I$2*B25+(1-$I$2)*B26)</f>
        <v>8.4920672183031037E-3</v>
      </c>
      <c r="B25" s="32">
        <f>1/$F$2*($I$2*C25+(1-$I$2)*C26)</f>
        <v>2.1855661652133438E-3</v>
      </c>
      <c r="C25" s="32">
        <f>1/$F$2*($I$2*D25+(1-$I$2)*D26)</f>
        <v>0</v>
      </c>
      <c r="D25" s="32">
        <f>1/$F$2*($I$2*E25+(1-$I$2)*E26)</f>
        <v>0</v>
      </c>
      <c r="E25" s="32">
        <f>1/$F$2*($I$2*F25+(1-$I$2)*F26)</f>
        <v>0</v>
      </c>
      <c r="F25" s="37">
        <f t="shared" ref="F25:F30" si="0">MAX($D$2-L25,0)</f>
        <v>0</v>
      </c>
      <c r="G25" s="32">
        <v>1</v>
      </c>
      <c r="H25" s="32">
        <f>G25*$A$2</f>
        <v>1.0594342369612506</v>
      </c>
      <c r="I25" s="32">
        <f>H25*$A$2</f>
        <v>1.1224009024456674</v>
      </c>
      <c r="J25" s="32">
        <f>I25*$A$2</f>
        <v>1.1891099436471446</v>
      </c>
      <c r="K25" s="32">
        <f>J25*$A$2</f>
        <v>1.2597837858108483</v>
      </c>
      <c r="L25" s="37">
        <f>K25*$A$2</f>
        <v>1.3346580738566716</v>
      </c>
    </row>
    <row r="26" spans="1:17">
      <c r="A26" s="32"/>
      <c r="B26" s="32">
        <f>1/$F$2*($I$2*C26+(1-$I$2)*C27)</f>
        <v>1.6603954676007223E-2</v>
      </c>
      <c r="C26" s="32">
        <f>1/$F$2*($I$2*D26+(1-$I$2)*D27)</f>
        <v>4.9825322602333718E-3</v>
      </c>
      <c r="D26" s="32">
        <f>1/$F$2*($I$2*E26+(1-$I$2)*E27)</f>
        <v>0</v>
      </c>
      <c r="E26" s="32">
        <f>1/$F$2*($I$2*F26+(1-$I$2)*F27)</f>
        <v>0</v>
      </c>
      <c r="F26" s="37">
        <f t="shared" si="0"/>
        <v>0</v>
      </c>
      <c r="G26" s="32"/>
      <c r="H26" s="32">
        <f>G25*B2</f>
        <v>0.94390002240089543</v>
      </c>
      <c r="I26" s="32">
        <f>H26*$A$2</f>
        <v>1</v>
      </c>
      <c r="J26" s="32">
        <f>I26*$A$2</f>
        <v>1.0594342369612506</v>
      </c>
      <c r="K26" s="32">
        <f>J26*$A$2</f>
        <v>1.1224009024456674</v>
      </c>
      <c r="L26" s="37">
        <f>K26*$A$2</f>
        <v>1.1891099436471446</v>
      </c>
    </row>
    <row r="27" spans="1:17">
      <c r="A27" s="32"/>
      <c r="B27" s="32"/>
      <c r="C27" s="32">
        <f>1/$F$2*($I$2*D27+(1-$I$2)*D28)</f>
        <v>3.1570280322200731E-2</v>
      </c>
      <c r="D27" s="32">
        <f>1/$F$2*($I$2*E27+(1-$I$2)*E28)</f>
        <v>1.1358900096187627E-2</v>
      </c>
      <c r="E27" s="32">
        <f>1/$F$2*($I$2*F27+(1-$I$2)*F28)</f>
        <v>0</v>
      </c>
      <c r="F27" s="37">
        <f t="shared" si="0"/>
        <v>0</v>
      </c>
      <c r="G27" s="32"/>
      <c r="H27" s="32"/>
      <c r="I27" s="32">
        <f>H26*B2</f>
        <v>0.89094725228841087</v>
      </c>
      <c r="J27" s="32">
        <f>I27*$A$2</f>
        <v>0.94390002240089543</v>
      </c>
      <c r="K27" s="32">
        <f>J27*$A$2</f>
        <v>1</v>
      </c>
      <c r="L27" s="37">
        <f>K27*$A$2</f>
        <v>1.0594342369612506</v>
      </c>
    </row>
    <row r="28" spans="1:17">
      <c r="A28" s="32"/>
      <c r="B28" s="32"/>
      <c r="C28" s="32"/>
      <c r="D28" s="32">
        <f>1/$F$2*($I$2*E28+(1-$I$2)*E29)</f>
        <v>5.7649692779380701E-2</v>
      </c>
      <c r="E28" s="32">
        <f>1/$F$2*($I$2*F28+(1-$I$2)*F29)</f>
        <v>2.5895389062494105E-2</v>
      </c>
      <c r="F28" s="37">
        <f t="shared" si="0"/>
        <v>0</v>
      </c>
      <c r="G28" s="32"/>
      <c r="H28" s="32"/>
      <c r="I28" s="32"/>
      <c r="J28" s="32">
        <f>I27*B2</f>
        <v>0.84096513139304729</v>
      </c>
      <c r="K28" s="32">
        <f>J28*$A$2</f>
        <v>0.89094725228841087</v>
      </c>
      <c r="L28" s="37">
        <f>K28*$A$2</f>
        <v>0.94390002240089543</v>
      </c>
    </row>
    <row r="29" spans="1:17">
      <c r="A29" s="32"/>
      <c r="B29" s="32"/>
      <c r="C29" s="32"/>
      <c r="D29" s="32"/>
      <c r="E29" s="32">
        <f>1/$F$2*($I$2*F29+(1-$I$2)*F30)</f>
        <v>9.8774977110805129E-2</v>
      </c>
      <c r="F29" s="37">
        <f t="shared" si="0"/>
        <v>5.9034868606952728E-2</v>
      </c>
      <c r="G29" s="32"/>
      <c r="H29" s="32"/>
      <c r="I29" s="32"/>
      <c r="J29" s="32"/>
      <c r="K29" s="32">
        <f>J28*B2</f>
        <v>0.79378700636026933</v>
      </c>
      <c r="L29" s="37">
        <f>K29*$A$2</f>
        <v>0.84096513139304729</v>
      </c>
    </row>
    <row r="30" spans="1:17">
      <c r="A30" s="32"/>
      <c r="B30" s="32"/>
      <c r="C30" s="32"/>
      <c r="D30" s="32"/>
      <c r="E30" s="32"/>
      <c r="F30" s="37">
        <f t="shared" si="0"/>
        <v>0.15074442691500212</v>
      </c>
      <c r="G30" s="32"/>
      <c r="H30" s="32"/>
      <c r="I30" s="32"/>
      <c r="J30" s="32"/>
      <c r="K30" s="32"/>
      <c r="L30" s="37">
        <f>K29*B2</f>
        <v>0.74925557308499791</v>
      </c>
    </row>
    <row r="31" spans="1:17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56"/>
  <sheetViews>
    <sheetView workbookViewId="0">
      <selection activeCell="M35" sqref="M35"/>
    </sheetView>
  </sheetViews>
  <sheetFormatPr defaultRowHeight="12.75"/>
  <cols>
    <col min="1" max="15" width="9.140625" style="51"/>
    <col min="16" max="16" width="10.5703125" style="51" bestFit="1" customWidth="1"/>
    <col min="17" max="271" width="9.140625" style="51"/>
    <col min="272" max="272" width="10.5703125" style="51" bestFit="1" customWidth="1"/>
    <col min="273" max="527" width="9.140625" style="51"/>
    <col min="528" max="528" width="10.5703125" style="51" bestFit="1" customWidth="1"/>
    <col min="529" max="783" width="9.140625" style="51"/>
    <col min="784" max="784" width="10.5703125" style="51" bestFit="1" customWidth="1"/>
    <col min="785" max="1039" width="9.140625" style="51"/>
    <col min="1040" max="1040" width="10.5703125" style="51" bestFit="1" customWidth="1"/>
    <col min="1041" max="1295" width="9.140625" style="51"/>
    <col min="1296" max="1296" width="10.5703125" style="51" bestFit="1" customWidth="1"/>
    <col min="1297" max="1551" width="9.140625" style="51"/>
    <col min="1552" max="1552" width="10.5703125" style="51" bestFit="1" customWidth="1"/>
    <col min="1553" max="1807" width="9.140625" style="51"/>
    <col min="1808" max="1808" width="10.5703125" style="51" bestFit="1" customWidth="1"/>
    <col min="1809" max="2063" width="9.140625" style="51"/>
    <col min="2064" max="2064" width="10.5703125" style="51" bestFit="1" customWidth="1"/>
    <col min="2065" max="2319" width="9.140625" style="51"/>
    <col min="2320" max="2320" width="10.5703125" style="51" bestFit="1" customWidth="1"/>
    <col min="2321" max="2575" width="9.140625" style="51"/>
    <col min="2576" max="2576" width="10.5703125" style="51" bestFit="1" customWidth="1"/>
    <col min="2577" max="2831" width="9.140625" style="51"/>
    <col min="2832" max="2832" width="10.5703125" style="51" bestFit="1" customWidth="1"/>
    <col min="2833" max="3087" width="9.140625" style="51"/>
    <col min="3088" max="3088" width="10.5703125" style="51" bestFit="1" customWidth="1"/>
    <col min="3089" max="3343" width="9.140625" style="51"/>
    <col min="3344" max="3344" width="10.5703125" style="51" bestFit="1" customWidth="1"/>
    <col min="3345" max="3599" width="9.140625" style="51"/>
    <col min="3600" max="3600" width="10.5703125" style="51" bestFit="1" customWidth="1"/>
    <col min="3601" max="3855" width="9.140625" style="51"/>
    <col min="3856" max="3856" width="10.5703125" style="51" bestFit="1" customWidth="1"/>
    <col min="3857" max="4111" width="9.140625" style="51"/>
    <col min="4112" max="4112" width="10.5703125" style="51" bestFit="1" customWidth="1"/>
    <col min="4113" max="4367" width="9.140625" style="51"/>
    <col min="4368" max="4368" width="10.5703125" style="51" bestFit="1" customWidth="1"/>
    <col min="4369" max="4623" width="9.140625" style="51"/>
    <col min="4624" max="4624" width="10.5703125" style="51" bestFit="1" customWidth="1"/>
    <col min="4625" max="4879" width="9.140625" style="51"/>
    <col min="4880" max="4880" width="10.5703125" style="51" bestFit="1" customWidth="1"/>
    <col min="4881" max="5135" width="9.140625" style="51"/>
    <col min="5136" max="5136" width="10.5703125" style="51" bestFit="1" customWidth="1"/>
    <col min="5137" max="5391" width="9.140625" style="51"/>
    <col min="5392" max="5392" width="10.5703125" style="51" bestFit="1" customWidth="1"/>
    <col min="5393" max="5647" width="9.140625" style="51"/>
    <col min="5648" max="5648" width="10.5703125" style="51" bestFit="1" customWidth="1"/>
    <col min="5649" max="5903" width="9.140625" style="51"/>
    <col min="5904" max="5904" width="10.5703125" style="51" bestFit="1" customWidth="1"/>
    <col min="5905" max="6159" width="9.140625" style="51"/>
    <col min="6160" max="6160" width="10.5703125" style="51" bestFit="1" customWidth="1"/>
    <col min="6161" max="6415" width="9.140625" style="51"/>
    <col min="6416" max="6416" width="10.5703125" style="51" bestFit="1" customWidth="1"/>
    <col min="6417" max="6671" width="9.140625" style="51"/>
    <col min="6672" max="6672" width="10.5703125" style="51" bestFit="1" customWidth="1"/>
    <col min="6673" max="6927" width="9.140625" style="51"/>
    <col min="6928" max="6928" width="10.5703125" style="51" bestFit="1" customWidth="1"/>
    <col min="6929" max="7183" width="9.140625" style="51"/>
    <col min="7184" max="7184" width="10.5703125" style="51" bestFit="1" customWidth="1"/>
    <col min="7185" max="7439" width="9.140625" style="51"/>
    <col min="7440" max="7440" width="10.5703125" style="51" bestFit="1" customWidth="1"/>
    <col min="7441" max="7695" width="9.140625" style="51"/>
    <col min="7696" max="7696" width="10.5703125" style="51" bestFit="1" customWidth="1"/>
    <col min="7697" max="7951" width="9.140625" style="51"/>
    <col min="7952" max="7952" width="10.5703125" style="51" bestFit="1" customWidth="1"/>
    <col min="7953" max="8207" width="9.140625" style="51"/>
    <col min="8208" max="8208" width="10.5703125" style="51" bestFit="1" customWidth="1"/>
    <col min="8209" max="8463" width="9.140625" style="51"/>
    <col min="8464" max="8464" width="10.5703125" style="51" bestFit="1" customWidth="1"/>
    <col min="8465" max="8719" width="9.140625" style="51"/>
    <col min="8720" max="8720" width="10.5703125" style="51" bestFit="1" customWidth="1"/>
    <col min="8721" max="8975" width="9.140625" style="51"/>
    <col min="8976" max="8976" width="10.5703125" style="51" bestFit="1" customWidth="1"/>
    <col min="8977" max="9231" width="9.140625" style="51"/>
    <col min="9232" max="9232" width="10.5703125" style="51" bestFit="1" customWidth="1"/>
    <col min="9233" max="9487" width="9.140625" style="51"/>
    <col min="9488" max="9488" width="10.5703125" style="51" bestFit="1" customWidth="1"/>
    <col min="9489" max="9743" width="9.140625" style="51"/>
    <col min="9744" max="9744" width="10.5703125" style="51" bestFit="1" customWidth="1"/>
    <col min="9745" max="9999" width="9.140625" style="51"/>
    <col min="10000" max="10000" width="10.5703125" style="51" bestFit="1" customWidth="1"/>
    <col min="10001" max="10255" width="9.140625" style="51"/>
    <col min="10256" max="10256" width="10.5703125" style="51" bestFit="1" customWidth="1"/>
    <col min="10257" max="10511" width="9.140625" style="51"/>
    <col min="10512" max="10512" width="10.5703125" style="51" bestFit="1" customWidth="1"/>
    <col min="10513" max="10767" width="9.140625" style="51"/>
    <col min="10768" max="10768" width="10.5703125" style="51" bestFit="1" customWidth="1"/>
    <col min="10769" max="11023" width="9.140625" style="51"/>
    <col min="11024" max="11024" width="10.5703125" style="51" bestFit="1" customWidth="1"/>
    <col min="11025" max="11279" width="9.140625" style="51"/>
    <col min="11280" max="11280" width="10.5703125" style="51" bestFit="1" customWidth="1"/>
    <col min="11281" max="11535" width="9.140625" style="51"/>
    <col min="11536" max="11536" width="10.5703125" style="51" bestFit="1" customWidth="1"/>
    <col min="11537" max="11791" width="9.140625" style="51"/>
    <col min="11792" max="11792" width="10.5703125" style="51" bestFit="1" customWidth="1"/>
    <col min="11793" max="12047" width="9.140625" style="51"/>
    <col min="12048" max="12048" width="10.5703125" style="51" bestFit="1" customWidth="1"/>
    <col min="12049" max="12303" width="9.140625" style="51"/>
    <col min="12304" max="12304" width="10.5703125" style="51" bestFit="1" customWidth="1"/>
    <col min="12305" max="12559" width="9.140625" style="51"/>
    <col min="12560" max="12560" width="10.5703125" style="51" bestFit="1" customWidth="1"/>
    <col min="12561" max="12815" width="9.140625" style="51"/>
    <col min="12816" max="12816" width="10.5703125" style="51" bestFit="1" customWidth="1"/>
    <col min="12817" max="13071" width="9.140625" style="51"/>
    <col min="13072" max="13072" width="10.5703125" style="51" bestFit="1" customWidth="1"/>
    <col min="13073" max="13327" width="9.140625" style="51"/>
    <col min="13328" max="13328" width="10.5703125" style="51" bestFit="1" customWidth="1"/>
    <col min="13329" max="13583" width="9.140625" style="51"/>
    <col min="13584" max="13584" width="10.5703125" style="51" bestFit="1" customWidth="1"/>
    <col min="13585" max="13839" width="9.140625" style="51"/>
    <col min="13840" max="13840" width="10.5703125" style="51" bestFit="1" customWidth="1"/>
    <col min="13841" max="14095" width="9.140625" style="51"/>
    <col min="14096" max="14096" width="10.5703125" style="51" bestFit="1" customWidth="1"/>
    <col min="14097" max="14351" width="9.140625" style="51"/>
    <col min="14352" max="14352" width="10.5703125" style="51" bestFit="1" customWidth="1"/>
    <col min="14353" max="14607" width="9.140625" style="51"/>
    <col min="14608" max="14608" width="10.5703125" style="51" bestFit="1" customWidth="1"/>
    <col min="14609" max="14863" width="9.140625" style="51"/>
    <col min="14864" max="14864" width="10.5703125" style="51" bestFit="1" customWidth="1"/>
    <col min="14865" max="15119" width="9.140625" style="51"/>
    <col min="15120" max="15120" width="10.5703125" style="51" bestFit="1" customWidth="1"/>
    <col min="15121" max="15375" width="9.140625" style="51"/>
    <col min="15376" max="15376" width="10.5703125" style="51" bestFit="1" customWidth="1"/>
    <col min="15377" max="15631" width="9.140625" style="51"/>
    <col min="15632" max="15632" width="10.5703125" style="51" bestFit="1" customWidth="1"/>
    <col min="15633" max="15887" width="9.140625" style="51"/>
    <col min="15888" max="15888" width="10.5703125" style="51" bestFit="1" customWidth="1"/>
    <col min="15889" max="16143" width="9.140625" style="51"/>
    <col min="16144" max="16144" width="10.5703125" style="51" bestFit="1" customWidth="1"/>
    <col min="16145" max="16384" width="9.140625" style="51"/>
  </cols>
  <sheetData>
    <row r="1" spans="1:22" ht="13.5" thickBot="1"/>
    <row r="2" spans="1:22" ht="18.75">
      <c r="A2" s="52" t="s">
        <v>76</v>
      </c>
      <c r="N2" s="53"/>
      <c r="O2" s="54"/>
      <c r="P2" s="54"/>
      <c r="Q2" s="54"/>
      <c r="R2" s="54"/>
      <c r="S2" s="54"/>
      <c r="T2" s="54"/>
      <c r="U2" s="54"/>
      <c r="V2" s="55"/>
    </row>
    <row r="3" spans="1:22">
      <c r="A3" s="56">
        <v>0</v>
      </c>
      <c r="B3" s="56">
        <v>1</v>
      </c>
      <c r="C3" s="56">
        <v>2</v>
      </c>
      <c r="D3" s="56">
        <v>3</v>
      </c>
      <c r="E3" s="56">
        <v>4</v>
      </c>
      <c r="F3" s="56">
        <v>5</v>
      </c>
      <c r="G3" s="56">
        <v>6</v>
      </c>
      <c r="H3" s="56">
        <v>7</v>
      </c>
      <c r="I3" s="56">
        <v>8</v>
      </c>
      <c r="J3" s="56">
        <v>9</v>
      </c>
      <c r="K3" s="56">
        <v>10</v>
      </c>
      <c r="N3" s="57">
        <v>1</v>
      </c>
      <c r="O3" s="58">
        <v>78</v>
      </c>
      <c r="P3" s="58">
        <f>(O3/(1.0507)^N3)*10000</f>
        <v>742362.2347006757</v>
      </c>
      <c r="Q3" s="59"/>
      <c r="R3" s="59" t="s">
        <v>77</v>
      </c>
      <c r="S3" s="59"/>
      <c r="T3" s="59"/>
      <c r="U3" s="59"/>
      <c r="V3" s="60"/>
    </row>
    <row r="4" spans="1:22" ht="12.6" customHeight="1">
      <c r="A4" s="32">
        <v>278</v>
      </c>
      <c r="B4" s="32">
        <f t="shared" ref="B4:K4" si="0">A4*$A12</f>
        <v>341.25196805976339</v>
      </c>
      <c r="C4" s="32">
        <f t="shared" si="0"/>
        <v>418.89534426137328</v>
      </c>
      <c r="D4" s="32">
        <f t="shared" si="0"/>
        <v>514.20453467721495</v>
      </c>
      <c r="E4" s="32">
        <f t="shared" si="0"/>
        <v>631.19895483400887</v>
      </c>
      <c r="F4" s="32">
        <f t="shared" si="0"/>
        <v>774.81253803730658</v>
      </c>
      <c r="G4" s="32">
        <f t="shared" si="0"/>
        <v>951.1018110885293</v>
      </c>
      <c r="H4" s="32">
        <f t="shared" si="0"/>
        <v>1167.5013124430429</v>
      </c>
      <c r="I4" s="32">
        <f t="shared" si="0"/>
        <v>1433.1371244012414</v>
      </c>
      <c r="J4" s="32">
        <f t="shared" si="0"/>
        <v>1759.2117417317756</v>
      </c>
      <c r="K4" s="61">
        <f t="shared" si="0"/>
        <v>2159.4765075532828</v>
      </c>
      <c r="N4" s="62">
        <v>2</v>
      </c>
      <c r="O4" s="58">
        <v>78</v>
      </c>
      <c r="P4" s="58">
        <f t="shared" ref="P4:P12" si="1">(O4/(1.0507)^N4)*10000</f>
        <v>706540.62501253991</v>
      </c>
      <c r="Q4" s="59"/>
      <c r="R4" s="59"/>
      <c r="S4" s="59"/>
      <c r="T4" s="59"/>
      <c r="U4" s="59"/>
      <c r="V4" s="60"/>
    </row>
    <row r="5" spans="1:22">
      <c r="A5" s="32"/>
      <c r="B5" s="32">
        <f t="shared" ref="B5:K5" si="2">A4*$B12</f>
        <v>226.47195396237325</v>
      </c>
      <c r="C5" s="32">
        <f t="shared" si="2"/>
        <v>278</v>
      </c>
      <c r="D5" s="32">
        <f t="shared" si="2"/>
        <v>341.25196805976339</v>
      </c>
      <c r="E5" s="32">
        <f t="shared" si="2"/>
        <v>418.89534426137328</v>
      </c>
      <c r="F5" s="32">
        <f t="shared" si="2"/>
        <v>514.20453467721495</v>
      </c>
      <c r="G5" s="32">
        <f t="shared" si="2"/>
        <v>631.19895483400887</v>
      </c>
      <c r="H5" s="32">
        <f t="shared" si="2"/>
        <v>774.81253803730658</v>
      </c>
      <c r="I5" s="32">
        <f t="shared" si="2"/>
        <v>951.1018110885293</v>
      </c>
      <c r="J5" s="32">
        <f t="shared" si="2"/>
        <v>1167.5013124430429</v>
      </c>
      <c r="K5" s="61">
        <f t="shared" si="2"/>
        <v>1433.1371244012414</v>
      </c>
      <c r="N5" s="62">
        <v>3</v>
      </c>
      <c r="O5" s="58">
        <v>78</v>
      </c>
      <c r="P5" s="58">
        <f t="shared" si="1"/>
        <v>672447.53498861718</v>
      </c>
      <c r="Q5" s="59"/>
      <c r="R5" s="59"/>
      <c r="S5" s="59"/>
      <c r="T5" s="59"/>
      <c r="U5" s="59"/>
      <c r="V5" s="60"/>
    </row>
    <row r="6" spans="1:22">
      <c r="A6" s="32"/>
      <c r="B6" s="32" t="s">
        <v>5</v>
      </c>
      <c r="C6" s="32">
        <f t="shared" ref="C6:K6" si="3">B5*$B12</f>
        <v>184.49476953789679</v>
      </c>
      <c r="D6" s="32">
        <f t="shared" si="3"/>
        <v>226.47195396237325</v>
      </c>
      <c r="E6" s="32">
        <f t="shared" si="3"/>
        <v>278</v>
      </c>
      <c r="F6" s="32">
        <f t="shared" si="3"/>
        <v>341.25196805976339</v>
      </c>
      <c r="G6" s="32">
        <f t="shared" si="3"/>
        <v>418.89534426137328</v>
      </c>
      <c r="H6" s="32">
        <f t="shared" si="3"/>
        <v>514.20453467721495</v>
      </c>
      <c r="I6" s="32">
        <f t="shared" si="3"/>
        <v>631.19895483400887</v>
      </c>
      <c r="J6" s="32">
        <f t="shared" si="3"/>
        <v>774.81253803730658</v>
      </c>
      <c r="K6" s="61">
        <f t="shared" si="3"/>
        <v>951.1018110885293</v>
      </c>
      <c r="N6" s="62">
        <v>4</v>
      </c>
      <c r="O6" s="58">
        <v>78</v>
      </c>
      <c r="P6" s="58">
        <f t="shared" si="1"/>
        <v>639999.55742706486</v>
      </c>
      <c r="Q6" s="59"/>
      <c r="R6" s="59"/>
      <c r="S6" s="59"/>
      <c r="T6" s="59"/>
      <c r="U6" s="59"/>
      <c r="V6" s="60"/>
    </row>
    <row r="7" spans="1:22">
      <c r="A7" s="32"/>
      <c r="B7" s="32"/>
      <c r="C7" s="32"/>
      <c r="D7" s="32">
        <f t="shared" ref="D7:K7" si="4">C6*$B12</f>
        <v>150.29816889599002</v>
      </c>
      <c r="E7" s="32">
        <f t="shared" si="4"/>
        <v>184.49476953789679</v>
      </c>
      <c r="F7" s="32">
        <f t="shared" si="4"/>
        <v>226.47195396237325</v>
      </c>
      <c r="G7" s="32">
        <f t="shared" si="4"/>
        <v>278</v>
      </c>
      <c r="H7" s="32">
        <f t="shared" si="4"/>
        <v>341.25196805976339</v>
      </c>
      <c r="I7" s="32">
        <f t="shared" si="4"/>
        <v>418.89534426137328</v>
      </c>
      <c r="J7" s="32">
        <f t="shared" si="4"/>
        <v>514.20453467721495</v>
      </c>
      <c r="K7" s="61">
        <f t="shared" si="4"/>
        <v>631.19895483400887</v>
      </c>
      <c r="N7" s="62">
        <v>5</v>
      </c>
      <c r="O7" s="58">
        <v>78</v>
      </c>
      <c r="P7" s="58">
        <f t="shared" si="1"/>
        <v>609117.30981922988</v>
      </c>
      <c r="Q7" s="59"/>
      <c r="R7" s="59"/>
      <c r="S7" s="59"/>
      <c r="T7" s="59"/>
      <c r="U7" s="59"/>
      <c r="V7" s="60"/>
    </row>
    <row r="8" spans="1:22">
      <c r="A8" s="32"/>
      <c r="B8" s="32"/>
      <c r="C8" s="32"/>
      <c r="D8" s="32" t="s">
        <v>5</v>
      </c>
      <c r="E8" s="32">
        <f t="shared" ref="E8:K8" si="5">D7*$B12</f>
        <v>122.4399999526678</v>
      </c>
      <c r="F8" s="32">
        <f t="shared" si="5"/>
        <v>150.29816889599002</v>
      </c>
      <c r="G8" s="32">
        <f t="shared" si="5"/>
        <v>184.49476953789679</v>
      </c>
      <c r="H8" s="32">
        <f t="shared" si="5"/>
        <v>226.47195396237325</v>
      </c>
      <c r="I8" s="32">
        <f t="shared" si="5"/>
        <v>278</v>
      </c>
      <c r="J8" s="32">
        <f t="shared" si="5"/>
        <v>341.25196805976339</v>
      </c>
      <c r="K8" s="61">
        <f t="shared" si="5"/>
        <v>418.89534426137328</v>
      </c>
      <c r="N8" s="62">
        <v>6</v>
      </c>
      <c r="O8" s="58">
        <v>78</v>
      </c>
      <c r="P8" s="58">
        <f t="shared" si="1"/>
        <v>579725.2401439324</v>
      </c>
      <c r="Q8" s="59"/>
      <c r="R8" s="59"/>
      <c r="S8" s="59"/>
      <c r="T8" s="59"/>
      <c r="U8" s="59"/>
      <c r="V8" s="60"/>
    </row>
    <row r="9" spans="1:22">
      <c r="A9" s="32"/>
      <c r="B9" s="32"/>
      <c r="C9" s="32"/>
      <c r="D9" s="32"/>
      <c r="E9" s="32"/>
      <c r="F9" s="32">
        <f t="shared" ref="F9:K9" si="6">E8*$B12</f>
        <v>99.745417382854555</v>
      </c>
      <c r="G9" s="32">
        <f t="shared" si="6"/>
        <v>122.4399999526678</v>
      </c>
      <c r="H9" s="32">
        <f t="shared" si="6"/>
        <v>150.29816889599002</v>
      </c>
      <c r="I9" s="32">
        <f t="shared" si="6"/>
        <v>184.49476953789679</v>
      </c>
      <c r="J9" s="32">
        <f t="shared" si="6"/>
        <v>226.47195396237325</v>
      </c>
      <c r="K9" s="61">
        <f t="shared" si="6"/>
        <v>278</v>
      </c>
      <c r="N9" s="62">
        <v>7</v>
      </c>
      <c r="O9" s="58">
        <v>78</v>
      </c>
      <c r="P9" s="58">
        <f t="shared" si="1"/>
        <v>551751.44203286618</v>
      </c>
      <c r="Q9" s="59"/>
      <c r="R9" s="59"/>
      <c r="S9" s="59"/>
      <c r="T9" s="59"/>
      <c r="U9" s="59"/>
      <c r="V9" s="60"/>
    </row>
    <row r="10" spans="1:22">
      <c r="A10" s="32"/>
      <c r="B10" s="32"/>
      <c r="C10" s="32"/>
      <c r="D10" s="32"/>
      <c r="E10" s="32"/>
      <c r="F10" s="32"/>
      <c r="G10" s="32">
        <f>F9*$B12</f>
        <v>81.257336595278915</v>
      </c>
      <c r="H10" s="32">
        <f>G9*$B12</f>
        <v>99.745417382854555</v>
      </c>
      <c r="I10" s="32">
        <f>H9*$B12</f>
        <v>122.4399999526678</v>
      </c>
      <c r="J10" s="32">
        <f>I9*$B12</f>
        <v>150.29816889599002</v>
      </c>
      <c r="K10" s="61">
        <f>J9*$B12</f>
        <v>184.49476953789679</v>
      </c>
      <c r="N10" s="62">
        <v>8</v>
      </c>
      <c r="O10" s="58">
        <v>78</v>
      </c>
      <c r="P10" s="58">
        <f t="shared" si="1"/>
        <v>525127.47885492165</v>
      </c>
      <c r="Q10" s="59"/>
      <c r="R10" s="59"/>
      <c r="S10" s="59"/>
      <c r="T10" s="59"/>
      <c r="U10" s="59"/>
      <c r="V10" s="60"/>
    </row>
    <row r="11" spans="1:22">
      <c r="A11" s="63" t="s">
        <v>0</v>
      </c>
      <c r="B11" s="63" t="s">
        <v>1</v>
      </c>
      <c r="C11" s="63" t="s">
        <v>78</v>
      </c>
      <c r="D11" s="63" t="s">
        <v>8</v>
      </c>
      <c r="E11" s="32"/>
      <c r="F11" s="32"/>
      <c r="G11" s="32"/>
      <c r="H11" s="32">
        <f>G10*$B12</f>
        <v>66.196071196082997</v>
      </c>
      <c r="I11" s="32">
        <f>H10*$B12</f>
        <v>81.257336595278915</v>
      </c>
      <c r="J11" s="32">
        <f>I10*$B12</f>
        <v>99.745417382854555</v>
      </c>
      <c r="K11" s="61">
        <f>J10*$B12</f>
        <v>122.4399999526678</v>
      </c>
      <c r="N11" s="62">
        <v>9</v>
      </c>
      <c r="O11" s="58">
        <v>78</v>
      </c>
      <c r="P11" s="58">
        <f t="shared" si="1"/>
        <v>499788.21628906595</v>
      </c>
      <c r="Q11" s="59"/>
      <c r="R11" s="59"/>
      <c r="S11" s="59"/>
      <c r="T11" s="59"/>
      <c r="U11" s="59"/>
      <c r="V11" s="60"/>
    </row>
    <row r="12" spans="1:22">
      <c r="A12" s="63">
        <f>EXP(0.205)</f>
        <v>1.2275250649631777</v>
      </c>
      <c r="B12" s="63">
        <f>EXP(-0.205)</f>
        <v>0.81464731641141452</v>
      </c>
      <c r="C12" s="63">
        <f>1.0507</f>
        <v>1.0507</v>
      </c>
      <c r="D12" s="63">
        <f>(C12-B12)/(A12-B12)</f>
        <v>0.57172537008007618</v>
      </c>
      <c r="E12" s="32"/>
      <c r="F12" s="32"/>
      <c r="G12" s="32"/>
      <c r="H12" s="32"/>
      <c r="I12" s="32">
        <f>H11*$B12</f>
        <v>53.926451756867948</v>
      </c>
      <c r="J12" s="32">
        <f>I11*$B12</f>
        <v>66.196071196082997</v>
      </c>
      <c r="K12" s="61">
        <f>J11*$B12</f>
        <v>81.257336595278915</v>
      </c>
      <c r="N12" s="64">
        <v>10</v>
      </c>
      <c r="O12" s="58">
        <v>78</v>
      </c>
      <c r="P12" s="58">
        <f t="shared" si="1"/>
        <v>475671.66297617392</v>
      </c>
      <c r="Q12" s="59"/>
      <c r="R12" s="59"/>
      <c r="S12" s="59"/>
      <c r="T12" s="59"/>
      <c r="U12" s="59"/>
      <c r="V12" s="60"/>
    </row>
    <row r="13" spans="1:22">
      <c r="A13" s="32"/>
      <c r="B13" s="32"/>
      <c r="C13" s="32"/>
      <c r="D13" s="32"/>
      <c r="E13" s="32"/>
      <c r="F13" s="32"/>
      <c r="G13" s="32"/>
      <c r="H13" s="32"/>
      <c r="I13" s="32"/>
      <c r="J13" s="32">
        <f>I12*$B12</f>
        <v>43.931039207322087</v>
      </c>
      <c r="K13" s="61">
        <f>J12*$B12</f>
        <v>53.926451756867948</v>
      </c>
      <c r="N13" s="65"/>
      <c r="O13" s="58"/>
      <c r="P13" s="66">
        <f>SUM(P3:P12)/1000000</f>
        <v>6.002531302245087</v>
      </c>
      <c r="Q13" s="59" t="s">
        <v>79</v>
      </c>
      <c r="R13" s="59"/>
      <c r="S13" s="59"/>
      <c r="T13" s="59"/>
      <c r="U13" s="59"/>
      <c r="V13" s="60"/>
    </row>
    <row r="14" spans="1:22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61">
        <f>J13*$B12</f>
        <v>35.788303197409576</v>
      </c>
      <c r="N14" s="65"/>
      <c r="O14" s="59"/>
      <c r="P14" s="59"/>
      <c r="Q14" s="59"/>
      <c r="R14" s="59"/>
      <c r="S14" s="59"/>
      <c r="T14" s="59"/>
      <c r="U14" s="59"/>
      <c r="V14" s="60"/>
    </row>
    <row r="15" spans="1:22" ht="13.5" thickBo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N15" s="67"/>
      <c r="O15" s="68"/>
      <c r="P15" s="68"/>
      <c r="Q15" s="68"/>
      <c r="R15" s="68"/>
      <c r="S15" s="68"/>
      <c r="T15" s="68"/>
      <c r="U15" s="68"/>
      <c r="V15" s="69"/>
    </row>
    <row r="16" spans="1:22" ht="18.75">
      <c r="A16" s="36"/>
      <c r="B16" s="32"/>
      <c r="C16" s="32"/>
      <c r="D16" s="32"/>
      <c r="E16" s="32"/>
      <c r="F16" s="32"/>
      <c r="G16" s="32"/>
      <c r="H16" s="32"/>
      <c r="I16" s="32"/>
      <c r="J16" s="32"/>
      <c r="K16" s="32"/>
    </row>
    <row r="17" spans="1:11">
      <c r="A17" s="56">
        <v>0</v>
      </c>
      <c r="B17" s="56">
        <v>1</v>
      </c>
      <c r="C17" s="56">
        <v>2</v>
      </c>
      <c r="D17" s="56">
        <v>3</v>
      </c>
      <c r="E17" s="56">
        <v>4</v>
      </c>
      <c r="F17" s="56">
        <v>5</v>
      </c>
      <c r="G17" s="56">
        <v>6</v>
      </c>
      <c r="H17" s="56">
        <v>7</v>
      </c>
      <c r="I17" s="56">
        <v>8</v>
      </c>
      <c r="J17" s="56">
        <v>9</v>
      </c>
      <c r="K17" s="56">
        <v>10</v>
      </c>
    </row>
    <row r="18" spans="1:11">
      <c r="A18" s="32">
        <f t="shared" ref="A18:I26" si="7">MAX((10000*(A4-200)/$C$12)/1000000+($D$12*B18+(1-$D$12)*B19)/$C$12,0)</f>
        <v>11.292852488673487</v>
      </c>
      <c r="B18" s="32">
        <f t="shared" si="7"/>
        <v>15.137970703136947</v>
      </c>
      <c r="C18" s="32">
        <f t="shared" si="7"/>
        <v>19.023785995909719</v>
      </c>
      <c r="D18" s="32">
        <f t="shared" si="7"/>
        <v>22.716305357327748</v>
      </c>
      <c r="E18" s="32">
        <f t="shared" si="7"/>
        <v>25.915783326787459</v>
      </c>
      <c r="F18" s="32">
        <f t="shared" si="7"/>
        <v>28.229030559843078</v>
      </c>
      <c r="G18" s="32">
        <f t="shared" si="7"/>
        <v>29.127926579543363</v>
      </c>
      <c r="H18" s="32">
        <f t="shared" si="7"/>
        <v>27.895597064400011</v>
      </c>
      <c r="I18" s="32">
        <f t="shared" si="7"/>
        <v>23.56452800850473</v>
      </c>
      <c r="J18" s="32">
        <f>MAX((10000*(J4-200)/C$12)/1000000,0)</f>
        <v>14.839742473891461</v>
      </c>
      <c r="K18" s="61">
        <v>0</v>
      </c>
    </row>
    <row r="19" spans="1:11">
      <c r="A19" s="32"/>
      <c r="B19" s="32">
        <f>MAX((10000*(B5-200)/$C$12)/1000000+($D$12*C19+(1-$D$12)*C20)/$C$12,0)</f>
        <v>5.6754195498140465</v>
      </c>
      <c r="C19" s="32">
        <f>MAX((10000*(C5-200)/$C$12)/1000000+($D$12*D19+(1-$D$12)*D20)/$C$12,0)</f>
        <v>8.4444998505489419</v>
      </c>
      <c r="D19" s="32">
        <f>MAX((10000*(D5-200)/$C$12)/1000000+($D$12*E19+(1-$D$12)*E20)/$C$12,0)</f>
        <v>11.235431846425449</v>
      </c>
      <c r="E19" s="32">
        <f>MAX((10000*(E5-200)/$C$12)/1000000+($D$12*F19+(1-$D$12)*F20)/$C$12,0)</f>
        <v>13.797842472841225</v>
      </c>
      <c r="F19" s="32">
        <f>MAX((10000*(F5-200)/$C$12)/1000000+($D$12*G19+(1-$D$12)*G20)/$C$12,0)</f>
        <v>15.82739339604316</v>
      </c>
      <c r="G19" s="32">
        <f t="shared" si="7"/>
        <v>16.949270207428761</v>
      </c>
      <c r="H19" s="32">
        <f t="shared" si="7"/>
        <v>16.683392598641859</v>
      </c>
      <c r="I19" s="32">
        <f t="shared" si="7"/>
        <v>14.389019998364589</v>
      </c>
      <c r="J19" s="32">
        <f t="shared" ref="J19:J27" si="8">MAX((10000*(J5-200)/C$12)/1000000,0)</f>
        <v>9.2081594407827438</v>
      </c>
      <c r="K19" s="61">
        <v>0</v>
      </c>
    </row>
    <row r="20" spans="1:11">
      <c r="A20" s="32"/>
      <c r="B20" s="32"/>
      <c r="C20" s="32">
        <f>MAX((10000*(C6-200)/$C$12)/1000000+($D$12*D20+(1-$D$12)*D21)/$C$12,0)</f>
        <v>2.0325952516318946</v>
      </c>
      <c r="D20" s="32">
        <f>MAX((10000*(D6-200)/$C$12)/1000000+($D$12*E20+(1-$D$12)*E21)/$C$12,0)</f>
        <v>3.8971595466132989</v>
      </c>
      <c r="E20" s="32">
        <f>MAX((10000*(E6-200)/$C$12)/1000000+($D$12*F20+(1-$D$12)*F21)/$C$12,0)</f>
        <v>5.8466502365970676</v>
      </c>
      <c r="F20" s="32">
        <f>MAX((10000*(F6-200)/$C$12)/1000000+($D$12*G20+(1-$D$12)*G21)/$C$12,0)</f>
        <v>7.6108110757208687</v>
      </c>
      <c r="G20" s="32">
        <f t="shared" si="7"/>
        <v>8.8669018597506195</v>
      </c>
      <c r="H20" s="32">
        <f t="shared" si="7"/>
        <v>9.2424103003619056</v>
      </c>
      <c r="I20" s="32">
        <f t="shared" si="7"/>
        <v>8.2996918123072856</v>
      </c>
      <c r="J20" s="32">
        <f t="shared" si="8"/>
        <v>5.4707579521966929</v>
      </c>
      <c r="K20" s="61">
        <v>0</v>
      </c>
    </row>
    <row r="21" spans="1:11">
      <c r="A21" s="32"/>
      <c r="B21" s="32"/>
      <c r="C21" s="32"/>
      <c r="D21" s="32">
        <f>MAX((10000*(D7-200)/$C$12)/1000000+($D$12*E21+(1-$D$12)*E22)/$C$12,0)</f>
        <v>0.14615657124910059</v>
      </c>
      <c r="E21" s="32">
        <f>MAX((10000*(E7-200)/$C$12)/1000000+($D$12*F21+(1-$D$12)*F22)/$C$12,0)</f>
        <v>1.1379327462071667</v>
      </c>
      <c r="F21" s="32">
        <f>MAX((10000*(F7-200)/$C$12)/1000000+($D$12*G21+(1-$D$12)*G22)/$C$12,0)</f>
        <v>2.3624598657773843</v>
      </c>
      <c r="G21" s="32">
        <f t="shared" si="7"/>
        <v>3.5368118109537736</v>
      </c>
      <c r="H21" s="32">
        <f t="shared" si="7"/>
        <v>4.304200536848489</v>
      </c>
      <c r="I21" s="32">
        <f t="shared" si="7"/>
        <v>4.258507638468215</v>
      </c>
      <c r="J21" s="32">
        <f t="shared" si="8"/>
        <v>2.9904305194367087</v>
      </c>
      <c r="K21" s="61">
        <v>0</v>
      </c>
    </row>
    <row r="22" spans="1:11">
      <c r="A22" s="50"/>
      <c r="B22" s="50"/>
      <c r="C22" s="32"/>
      <c r="D22" s="32"/>
      <c r="E22" s="32">
        <f>MAX((10000*(E8-200)/$C$12)/1000000+($D$12*F22+(1-$D$12)*F23)/$C$12,0)</f>
        <v>0</v>
      </c>
      <c r="F22" s="32">
        <f>MAX((10000*(F8-200)/$C$12)/1000000+($D$12*G22+(1-$D$12)*G23)/$C$12,0)</f>
        <v>0</v>
      </c>
      <c r="G22" s="32">
        <f t="shared" si="7"/>
        <v>0.45632401775462533</v>
      </c>
      <c r="H22" s="32">
        <f t="shared" si="7"/>
        <v>1.1098194750163821</v>
      </c>
      <c r="I22" s="32">
        <f t="shared" si="7"/>
        <v>1.5765747506529819</v>
      </c>
      <c r="J22" s="32">
        <f t="shared" si="8"/>
        <v>1.3443605982655695</v>
      </c>
      <c r="K22" s="61">
        <v>0</v>
      </c>
    </row>
    <row r="23" spans="1:11">
      <c r="A23" s="50"/>
      <c r="B23" s="50"/>
      <c r="D23" s="32"/>
      <c r="E23" s="32"/>
      <c r="F23" s="32">
        <f>MAX((10000*(F9-200)/$C$12)/1000000+($D$12*G23+(1-$D$12)*G24)/$C$12,0)</f>
        <v>0</v>
      </c>
      <c r="G23" s="32">
        <f t="shared" si="7"/>
        <v>0</v>
      </c>
      <c r="H23" s="32">
        <f t="shared" si="7"/>
        <v>0</v>
      </c>
      <c r="I23" s="32">
        <f t="shared" si="7"/>
        <v>0</v>
      </c>
      <c r="J23" s="32">
        <f t="shared" si="8"/>
        <v>0.25194588333847201</v>
      </c>
      <c r="K23" s="61">
        <v>0</v>
      </c>
    </row>
    <row r="24" spans="1:11">
      <c r="A24" s="50"/>
      <c r="B24" s="50"/>
      <c r="C24" s="32"/>
      <c r="D24" s="32"/>
      <c r="E24" s="32"/>
      <c r="F24" s="32"/>
      <c r="G24" s="32">
        <f t="shared" si="7"/>
        <v>0</v>
      </c>
      <c r="H24" s="32">
        <f t="shared" si="7"/>
        <v>0</v>
      </c>
      <c r="I24" s="32">
        <f t="shared" si="7"/>
        <v>0</v>
      </c>
      <c r="J24" s="32">
        <f t="shared" si="8"/>
        <v>0</v>
      </c>
      <c r="K24" s="61">
        <v>0</v>
      </c>
    </row>
    <row r="25" spans="1:11">
      <c r="A25" s="32"/>
      <c r="B25" s="32"/>
      <c r="C25" s="32"/>
      <c r="D25" s="32"/>
      <c r="E25" s="32"/>
      <c r="F25" s="32"/>
      <c r="G25" s="32"/>
      <c r="H25" s="32">
        <f t="shared" si="7"/>
        <v>0</v>
      </c>
      <c r="I25" s="32">
        <f t="shared" si="7"/>
        <v>0</v>
      </c>
      <c r="J25" s="32">
        <f t="shared" si="8"/>
        <v>0</v>
      </c>
      <c r="K25" s="61">
        <v>0</v>
      </c>
    </row>
    <row r="26" spans="1:11">
      <c r="A26" s="32"/>
      <c r="B26" s="32"/>
      <c r="C26" s="32"/>
      <c r="D26" s="32"/>
      <c r="E26" s="32"/>
      <c r="F26" s="32"/>
      <c r="G26" s="32"/>
      <c r="H26" s="32"/>
      <c r="I26" s="32">
        <f t="shared" si="7"/>
        <v>0</v>
      </c>
      <c r="J26" s="32">
        <f t="shared" si="8"/>
        <v>0</v>
      </c>
      <c r="K26" s="61">
        <v>0</v>
      </c>
    </row>
    <row r="27" spans="1:11">
      <c r="A27" s="32"/>
      <c r="B27" s="32"/>
      <c r="C27" s="32"/>
      <c r="D27" s="32"/>
      <c r="E27" s="32"/>
      <c r="F27" s="32"/>
      <c r="G27" s="32"/>
      <c r="H27" s="32"/>
      <c r="I27" s="32"/>
      <c r="J27" s="32">
        <f t="shared" si="8"/>
        <v>0</v>
      </c>
      <c r="K27" s="61">
        <v>0</v>
      </c>
    </row>
    <row r="28" spans="1:1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61">
        <v>0</v>
      </c>
    </row>
    <row r="30" spans="1:11" ht="18.75">
      <c r="A30" s="52" t="s">
        <v>80</v>
      </c>
    </row>
    <row r="31" spans="1:11">
      <c r="A31" s="56">
        <v>0</v>
      </c>
      <c r="B31" s="56">
        <v>1</v>
      </c>
      <c r="C31" s="56">
        <v>2</v>
      </c>
      <c r="D31" s="56">
        <v>3</v>
      </c>
      <c r="E31" s="56">
        <v>4</v>
      </c>
      <c r="F31" s="56">
        <v>5</v>
      </c>
      <c r="G31" s="56">
        <v>6</v>
      </c>
      <c r="H31" s="56">
        <v>7</v>
      </c>
      <c r="I31" s="56">
        <v>8</v>
      </c>
      <c r="J31" s="56">
        <v>9</v>
      </c>
      <c r="K31" s="56">
        <v>10</v>
      </c>
    </row>
    <row r="32" spans="1:11">
      <c r="A32" s="32">
        <f>MAX((12500*(A4240)/$C$12)/1000000 + ($D$12*B32+(1-$D$12)*B33)/$C$12,0)</f>
        <v>10.22528297109127</v>
      </c>
      <c r="B32" s="32">
        <f t="shared" ref="B32:I40" si="9">MAX((12500*(B4-240)/$C$12)/1000000 + ($D$12*C32+(1-$D$12)*C33)/$C$12,0)</f>
        <v>15.55101922656573</v>
      </c>
      <c r="C32" s="32">
        <f t="shared" si="9"/>
        <v>20.620619456180577</v>
      </c>
      <c r="D32" s="32">
        <f t="shared" si="9"/>
        <v>25.524897370140266</v>
      </c>
      <c r="E32" s="32">
        <f t="shared" si="9"/>
        <v>29.864365335815858</v>
      </c>
      <c r="F32" s="32">
        <f t="shared" si="9"/>
        <v>33.125732262657614</v>
      </c>
      <c r="G32" s="32">
        <f t="shared" si="9"/>
        <v>34.639812101269655</v>
      </c>
      <c r="H32" s="32">
        <f t="shared" si="9"/>
        <v>33.509656333896274</v>
      </c>
      <c r="I32" s="32">
        <f t="shared" si="9"/>
        <v>28.526876126199362</v>
      </c>
      <c r="J32" s="32">
        <f>MAX((12500*(J4-240)/$C$12)/1000000,0)</f>
        <v>18.073804864992098</v>
      </c>
      <c r="K32" s="61">
        <v>0</v>
      </c>
    </row>
    <row r="33" spans="1:11">
      <c r="A33" s="61">
        <f>A32-1</f>
        <v>9.2252829710912696</v>
      </c>
      <c r="B33" s="32">
        <f>MAX((12500*(B5-240)/$C$12)/1000000 + ($D$12*C33+(1-$D$12)*C34)/$C$12,0)</f>
        <v>4.3261787317202245</v>
      </c>
      <c r="C33" s="32">
        <f>MAX((12500*(C5-240)/$C$12)/1000000 + ($D$12*D33+(1-$D$12)*D34)/$C$12,0)</f>
        <v>7.6690860986895695</v>
      </c>
      <c r="D33" s="32">
        <f>MAX((12500*(D5-240)/$C$12)/1000000 + ($D$12*E33+(1-$D$12)*E34)/$C$12,0)</f>
        <v>11.293364879088658</v>
      </c>
      <c r="E33" s="32">
        <f>MAX((12500*(E5-240)/$C$12)/1000000 + ($D$12*F33+(1-$D$12)*F34)/$C$12,0)</f>
        <v>14.750436327961875</v>
      </c>
      <c r="F33" s="32">
        <f>MAX((12500*(F5-240)/$C$12)/1000000 + ($D$12*G33+(1-$D$12)*G34)/$C$12,0)</f>
        <v>17.62812844479431</v>
      </c>
      <c r="G33" s="32">
        <f t="shared" si="9"/>
        <v>19.416491636126398</v>
      </c>
      <c r="H33" s="32">
        <f t="shared" si="9"/>
        <v>19.494400751698585</v>
      </c>
      <c r="I33" s="32">
        <f t="shared" si="9"/>
        <v>17.057491113524186</v>
      </c>
      <c r="J33" s="32">
        <f t="shared" ref="J33:J41" si="10">MAX((12500*(J5-240)/$C$12)/1000000,0)</f>
        <v>11.034326073606202</v>
      </c>
      <c r="K33" s="61">
        <v>0</v>
      </c>
    </row>
    <row r="34" spans="1:11">
      <c r="A34" s="32"/>
      <c r="B34" s="32"/>
      <c r="C34" s="32">
        <f>MAX((12500*(C6-240)/$C$12)/1000000 + ($D$12*D34+(1-$D$12)*D35)/$C$12,0)</f>
        <v>0.77054641551196934</v>
      </c>
      <c r="D34" s="32">
        <f>MAX((12500*(D6-240)/$C$12)/1000000 + ($D$12*E34+(1-$D$12)*E35)/$C$12,0)</f>
        <v>2.6296340485015475</v>
      </c>
      <c r="E34" s="32">
        <f>MAX((12500*(E6-240)/$C$12)/1000000 + ($D$12*F34+(1-$D$12)*F35)/$C$12,0)</f>
        <v>5.0600480576446847</v>
      </c>
      <c r="F34" s="32">
        <f>MAX((12500*(F6-240)/$C$12)/1000000 + ($D$12*G34+(1-$D$12)*G35)/$C$12,0)</f>
        <v>7.4336492642547789</v>
      </c>
      <c r="G34" s="32">
        <f t="shared" si="9"/>
        <v>9.3244304662776525</v>
      </c>
      <c r="H34" s="32">
        <f t="shared" si="9"/>
        <v>10.193172878848644</v>
      </c>
      <c r="I34" s="32">
        <f t="shared" si="9"/>
        <v>9.4458308809525597</v>
      </c>
      <c r="J34" s="32">
        <f t="shared" si="10"/>
        <v>6.3625742128736391</v>
      </c>
      <c r="K34" s="61">
        <v>0</v>
      </c>
    </row>
    <row r="35" spans="1:11">
      <c r="A35" s="32"/>
      <c r="B35" s="32"/>
      <c r="C35" s="32"/>
      <c r="D35" s="32">
        <f>MAX((12500*(D7-240)/$C$12)/1000000 + ($D$12*E35+(1-$D$12)*E36)/$C$12,0)</f>
        <v>0</v>
      </c>
      <c r="E35" s="32">
        <f>MAX((12500*(E7-240)/$C$12)/1000000 + ($D$12*F35+(1-$D$12)*F36)/$C$12,0)</f>
        <v>9.1294742017154706E-2</v>
      </c>
      <c r="F35" s="32">
        <f>MAX((12500*(F7-240)/$C$12)/1000000 + ($D$12*G35+(1-$D$12)*G36)/$C$12,0)</f>
        <v>1.3813253837294353</v>
      </c>
      <c r="G35" s="32">
        <f t="shared" si="9"/>
        <v>2.8343313782417763</v>
      </c>
      <c r="H35" s="32">
        <f t="shared" si="9"/>
        <v>4.0471501931480418</v>
      </c>
      <c r="I35" s="32">
        <f t="shared" si="9"/>
        <v>4.3943506636537206</v>
      </c>
      <c r="J35" s="32">
        <f t="shared" si="10"/>
        <v>3.2621649219236573</v>
      </c>
      <c r="K35" s="61">
        <v>0</v>
      </c>
    </row>
    <row r="36" spans="1:11">
      <c r="A36" s="70" t="s">
        <v>81</v>
      </c>
      <c r="B36" s="32"/>
      <c r="C36" s="32"/>
      <c r="D36" s="32"/>
      <c r="E36" s="32">
        <f>MAX((12500*(E8-240)/$C$12)/1000000 + ($D$12*F36+(1-$D$12)*F37)/$C$12,0)</f>
        <v>0</v>
      </c>
      <c r="F36" s="32">
        <f>MAX((12500*(F8-240)/$C$12)/1000000 + ($D$12*G36+(1-$D$12)*G37)/$C$12,0)</f>
        <v>0</v>
      </c>
      <c r="G36" s="32">
        <f t="shared" si="9"/>
        <v>0</v>
      </c>
      <c r="H36" s="32">
        <f t="shared" si="9"/>
        <v>0.44171081814206192</v>
      </c>
      <c r="I36" s="32">
        <f t="shared" si="9"/>
        <v>1.1075354798467516</v>
      </c>
      <c r="J36" s="32">
        <f t="shared" si="10"/>
        <v>1.204577520459734</v>
      </c>
      <c r="K36" s="61">
        <v>0</v>
      </c>
    </row>
    <row r="37" spans="1:11">
      <c r="A37" s="32"/>
      <c r="B37" s="32"/>
      <c r="C37" s="32"/>
      <c r="D37" s="32"/>
      <c r="E37" s="32"/>
      <c r="F37" s="32">
        <f>MAX((12500*(F9-240)/$C$12)/1000000 + ($D$12*G37+(1-$D$12)*G38)/$C$12,0)</f>
        <v>0</v>
      </c>
      <c r="G37" s="32">
        <f t="shared" si="9"/>
        <v>0</v>
      </c>
      <c r="H37" s="32">
        <f t="shared" si="9"/>
        <v>0</v>
      </c>
      <c r="I37" s="32">
        <f t="shared" si="9"/>
        <v>0</v>
      </c>
      <c r="J37" s="32">
        <f t="shared" si="10"/>
        <v>0</v>
      </c>
      <c r="K37" s="61">
        <v>0</v>
      </c>
    </row>
    <row r="38" spans="1:11">
      <c r="A38" s="32"/>
      <c r="B38" s="32"/>
      <c r="C38" s="32"/>
      <c r="D38" s="32"/>
      <c r="E38" s="32"/>
      <c r="F38" s="32"/>
      <c r="G38" s="32">
        <f t="shared" si="9"/>
        <v>0</v>
      </c>
      <c r="H38" s="32">
        <f t="shared" si="9"/>
        <v>0</v>
      </c>
      <c r="I38" s="32">
        <f t="shared" si="9"/>
        <v>0</v>
      </c>
      <c r="J38" s="32">
        <f t="shared" si="10"/>
        <v>0</v>
      </c>
      <c r="K38" s="61">
        <v>0</v>
      </c>
    </row>
    <row r="39" spans="1:11">
      <c r="A39" s="32"/>
      <c r="B39" s="32"/>
      <c r="C39" s="32"/>
      <c r="D39" s="32"/>
      <c r="E39" s="32"/>
      <c r="F39" s="32"/>
      <c r="G39" s="32"/>
      <c r="H39" s="32">
        <f t="shared" si="9"/>
        <v>0</v>
      </c>
      <c r="I39" s="32">
        <f t="shared" si="9"/>
        <v>0</v>
      </c>
      <c r="J39" s="32">
        <f t="shared" si="10"/>
        <v>0</v>
      </c>
      <c r="K39" s="61">
        <v>0</v>
      </c>
    </row>
    <row r="40" spans="1:11">
      <c r="A40" s="32"/>
      <c r="B40" s="32"/>
      <c r="C40" s="32"/>
      <c r="D40" s="32"/>
      <c r="E40" s="32"/>
      <c r="F40" s="32"/>
      <c r="G40" s="32"/>
      <c r="H40" s="32"/>
      <c r="I40" s="32">
        <f t="shared" si="9"/>
        <v>0</v>
      </c>
      <c r="J40" s="32">
        <f t="shared" si="10"/>
        <v>0</v>
      </c>
      <c r="K40" s="61">
        <v>0</v>
      </c>
    </row>
    <row r="41" spans="1:11">
      <c r="A41" s="32"/>
      <c r="B41" s="32"/>
      <c r="C41" s="32"/>
      <c r="D41" s="32"/>
      <c r="E41" s="32"/>
      <c r="F41" s="32"/>
      <c r="G41" s="32"/>
      <c r="H41" s="48"/>
      <c r="I41" s="32"/>
      <c r="J41" s="32">
        <f t="shared" si="10"/>
        <v>0</v>
      </c>
      <c r="K41" s="61">
        <v>0</v>
      </c>
    </row>
    <row r="42" spans="1:11">
      <c r="K42" s="61">
        <v>0</v>
      </c>
    </row>
    <row r="44" spans="1:11" ht="18.75">
      <c r="A44" s="52" t="s">
        <v>82</v>
      </c>
    </row>
    <row r="45" spans="1:11">
      <c r="A45" s="56">
        <v>0</v>
      </c>
      <c r="B45" s="56">
        <v>1</v>
      </c>
      <c r="C45" s="56">
        <v>2</v>
      </c>
      <c r="D45" s="56">
        <v>3</v>
      </c>
      <c r="E45" s="56">
        <v>4</v>
      </c>
      <c r="F45" s="56">
        <v>5</v>
      </c>
      <c r="G45" s="56">
        <v>6</v>
      </c>
      <c r="H45" s="56">
        <v>7</v>
      </c>
      <c r="I45" s="56">
        <v>8</v>
      </c>
      <c r="J45" s="56">
        <v>9</v>
      </c>
      <c r="K45" s="56">
        <v>10</v>
      </c>
    </row>
    <row r="46" spans="1:11" ht="13.5">
      <c r="A46" s="32">
        <f>MAX((10000*(A32-200)/$C$12)/1000000+($D$12*B46+(1-$D$12)*B47)/$C$12,0)</f>
        <v>9.1288500214625508</v>
      </c>
      <c r="B46" s="32">
        <f>MAX((10000*(B4-200)/$C$12)/1000000+($D$12*C46+(1-$D$12)*C47)/$C$12,0)</f>
        <v>15.786435264174308</v>
      </c>
      <c r="C46" s="32">
        <f>MAX((10000*(C4-200)/$C$12)/1000000+($D$12*D46+(1-$D$12)*D47)/$C$12,0)</f>
        <v>20.11064767216196</v>
      </c>
      <c r="D46" s="71">
        <f t="shared" ref="D46:J46" si="11">D32-1</f>
        <v>24.524897370140266</v>
      </c>
      <c r="E46" s="71">
        <f t="shared" si="11"/>
        <v>28.864365335815858</v>
      </c>
      <c r="F46" s="71">
        <f t="shared" si="11"/>
        <v>32.125732262657614</v>
      </c>
      <c r="G46" s="71">
        <f t="shared" si="11"/>
        <v>33.639812101269655</v>
      </c>
      <c r="H46" s="71">
        <f t="shared" si="11"/>
        <v>32.509656333896274</v>
      </c>
      <c r="I46" s="71">
        <f t="shared" si="11"/>
        <v>27.526876126199362</v>
      </c>
      <c r="J46" s="71">
        <f t="shared" si="11"/>
        <v>17.073804864992098</v>
      </c>
      <c r="K46" s="61">
        <v>0</v>
      </c>
    </row>
    <row r="47" spans="1:11" ht="13.5">
      <c r="A47" s="32"/>
      <c r="B47" s="32">
        <f>MAX((10000*(B5-200)/$C$12)/1000000+($D$12*C47+(1-$D$12)*C48)/$C$12,0)</f>
        <v>5.7531410269276453</v>
      </c>
      <c r="C47" s="32">
        <f>MAX((10000*(C5-200)/$C$12)/1000000+($D$12*D47+(1-$D$12)*D48)/$C$12,0)</f>
        <v>8.5844925468522479</v>
      </c>
      <c r="D47" s="32">
        <f t="shared" ref="D47:I54" si="12">MAX((10000*(D5-200)/$C$12)/1000000+($D$12*E47+(1-$D$12)*E48)/$C$12,0)</f>
        <v>11.487484192858631</v>
      </c>
      <c r="E47" s="32">
        <f t="shared" si="12"/>
        <v>14.251459816668337</v>
      </c>
      <c r="F47" s="32">
        <f t="shared" si="12"/>
        <v>16.643400843882738</v>
      </c>
      <c r="G47" s="71">
        <f>G33-1</f>
        <v>18.416491636126398</v>
      </c>
      <c r="H47" s="71">
        <f>H33-1</f>
        <v>18.494400751698585</v>
      </c>
      <c r="I47" s="71">
        <f>I33-1</f>
        <v>16.057491113524186</v>
      </c>
      <c r="J47" s="71">
        <f>J33-1</f>
        <v>10.034326073606202</v>
      </c>
      <c r="K47" s="61">
        <v>0</v>
      </c>
    </row>
    <row r="48" spans="1:11" ht="13.5">
      <c r="A48" s="32"/>
      <c r="B48" s="32"/>
      <c r="C48" s="32">
        <f>MAX((10000*(C6-200)/$C$12)/1000000+($D$12*D48+(1-$D$12)*D49)/$C$12,0)</f>
        <v>2.0363885650510118</v>
      </c>
      <c r="D48" s="32">
        <f t="shared" si="12"/>
        <v>3.904130785984588</v>
      </c>
      <c r="E48" s="32">
        <f t="shared" si="12"/>
        <v>5.8594617744275244</v>
      </c>
      <c r="F48" s="32">
        <f t="shared" si="12"/>
        <v>7.6343557415742929</v>
      </c>
      <c r="G48" s="32">
        <f t="shared" si="12"/>
        <v>8.9101715512962816</v>
      </c>
      <c r="H48" s="32">
        <f t="shared" si="12"/>
        <v>9.3219300615728855</v>
      </c>
      <c r="I48" s="71">
        <f>I34-1</f>
        <v>8.4458308809525597</v>
      </c>
      <c r="J48" s="32">
        <f t="shared" ref="J48:J55" si="13">MAX((10000*(J6-200)/C$12)/1000000,0)</f>
        <v>5.4707579521966929</v>
      </c>
      <c r="K48" s="61">
        <v>0</v>
      </c>
    </row>
    <row r="49" spans="1:11">
      <c r="A49" s="32"/>
      <c r="B49" s="32"/>
      <c r="C49" s="32"/>
      <c r="D49" s="32">
        <f t="shared" si="12"/>
        <v>0.14615657124910059</v>
      </c>
      <c r="E49" s="32">
        <f t="shared" si="12"/>
        <v>1.1379327462071667</v>
      </c>
      <c r="F49" s="32">
        <f t="shared" si="12"/>
        <v>2.3624598657773843</v>
      </c>
      <c r="G49" s="32">
        <f t="shared" si="12"/>
        <v>3.5368118109537736</v>
      </c>
      <c r="H49" s="32">
        <f t="shared" si="12"/>
        <v>4.304200536848489</v>
      </c>
      <c r="I49" s="32">
        <f t="shared" si="12"/>
        <v>4.258507638468215</v>
      </c>
      <c r="J49" s="32">
        <f t="shared" si="13"/>
        <v>2.9904305194367087</v>
      </c>
      <c r="K49" s="61">
        <v>0</v>
      </c>
    </row>
    <row r="50" spans="1:11">
      <c r="A50" s="50"/>
      <c r="B50" s="50"/>
      <c r="C50" s="32"/>
      <c r="D50" s="32"/>
      <c r="E50" s="32">
        <f>MAX((10000*(E8-200)/$C$12)/1000000+($D$12*F50+(1-$D$12)*F51)/$C$12,0)</f>
        <v>0</v>
      </c>
      <c r="F50" s="32">
        <f>MAX((10000*(F8-200)/$C$12)/1000000+($D$12*G50+(1-$D$12)*G51)/$C$12,0)</f>
        <v>0</v>
      </c>
      <c r="G50" s="32">
        <f t="shared" si="12"/>
        <v>0.45632401775462533</v>
      </c>
      <c r="H50" s="32">
        <f t="shared" si="12"/>
        <v>1.1098194750163821</v>
      </c>
      <c r="I50" s="32">
        <f t="shared" si="12"/>
        <v>1.5765747506529819</v>
      </c>
      <c r="J50" s="32">
        <f t="shared" si="13"/>
        <v>1.3443605982655695</v>
      </c>
      <c r="K50" s="61">
        <v>0</v>
      </c>
    </row>
    <row r="51" spans="1:11">
      <c r="A51" s="50"/>
      <c r="B51" s="50"/>
      <c r="D51" s="32"/>
      <c r="E51" s="32"/>
      <c r="F51" s="32">
        <f>MAX((10000*(F9-200)/$C$12)/1000000+($D$12*G51+(1-$D$12)*G52)/$C$12,0)</f>
        <v>0</v>
      </c>
      <c r="G51" s="32">
        <f t="shared" si="12"/>
        <v>0</v>
      </c>
      <c r="H51" s="32">
        <f t="shared" si="12"/>
        <v>0</v>
      </c>
      <c r="I51" s="32">
        <f t="shared" si="12"/>
        <v>0</v>
      </c>
      <c r="J51" s="32">
        <f t="shared" si="13"/>
        <v>0.25194588333847201</v>
      </c>
      <c r="K51" s="61">
        <v>0</v>
      </c>
    </row>
    <row r="52" spans="1:11">
      <c r="A52" s="50"/>
      <c r="B52" s="50"/>
      <c r="C52" s="32"/>
      <c r="D52" s="32"/>
      <c r="E52" s="32"/>
      <c r="F52" s="32"/>
      <c r="G52" s="32">
        <f t="shared" si="12"/>
        <v>0</v>
      </c>
      <c r="H52" s="32">
        <f t="shared" si="12"/>
        <v>0</v>
      </c>
      <c r="I52" s="32">
        <f t="shared" si="12"/>
        <v>0</v>
      </c>
      <c r="J52" s="32">
        <f t="shared" si="13"/>
        <v>0</v>
      </c>
      <c r="K52" s="61">
        <v>0</v>
      </c>
    </row>
    <row r="53" spans="1:11">
      <c r="A53" s="32"/>
      <c r="B53" s="32"/>
      <c r="C53" s="32"/>
      <c r="D53" s="32"/>
      <c r="E53" s="32"/>
      <c r="F53" s="32"/>
      <c r="G53" s="32"/>
      <c r="H53" s="32">
        <f>MAX((10000*(H11-200)/$C$12)/1000000+($D$12*I53+(1-$D$12)*I54)/$C$12,0)</f>
        <v>0</v>
      </c>
      <c r="I53" s="32">
        <f t="shared" si="12"/>
        <v>0</v>
      </c>
      <c r="J53" s="32">
        <f t="shared" si="13"/>
        <v>0</v>
      </c>
      <c r="K53" s="61">
        <v>0</v>
      </c>
    </row>
    <row r="54" spans="1:11">
      <c r="A54" s="32"/>
      <c r="B54" s="32"/>
      <c r="C54" s="32"/>
      <c r="D54" s="32"/>
      <c r="E54" s="32"/>
      <c r="F54" s="32"/>
      <c r="G54" s="32"/>
      <c r="H54" s="32"/>
      <c r="I54" s="32">
        <f t="shared" si="12"/>
        <v>0</v>
      </c>
      <c r="J54" s="32">
        <f t="shared" si="13"/>
        <v>0</v>
      </c>
      <c r="K54" s="61">
        <v>0</v>
      </c>
    </row>
    <row r="55" spans="1:11">
      <c r="A55" s="32"/>
      <c r="B55" s="32"/>
      <c r="C55" s="32"/>
      <c r="D55" s="32"/>
      <c r="E55" s="32"/>
      <c r="F55" s="32"/>
      <c r="G55" s="32"/>
      <c r="H55" s="32"/>
      <c r="I55" s="32"/>
      <c r="J55" s="32">
        <f t="shared" si="13"/>
        <v>0</v>
      </c>
      <c r="K55" s="61">
        <v>0</v>
      </c>
    </row>
    <row r="56" spans="1:11">
      <c r="K56" s="6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42"/>
  <sheetViews>
    <sheetView tabSelected="1" workbookViewId="0">
      <selection activeCell="F43" sqref="F43"/>
    </sheetView>
  </sheetViews>
  <sheetFormatPr defaultRowHeight="15"/>
  <cols>
    <col min="11" max="11" width="9.28515625" bestFit="1" customWidth="1"/>
  </cols>
  <sheetData>
    <row r="1" spans="1:45" ht="18">
      <c r="A1" s="21" t="s">
        <v>43</v>
      </c>
      <c r="M1" s="1"/>
      <c r="N1" s="1"/>
      <c r="O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M2" s="1"/>
      <c r="N2" s="1"/>
      <c r="O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>
      <c r="A3" s="1"/>
      <c r="B3" s="9">
        <v>1</v>
      </c>
      <c r="C3" s="9">
        <v>2</v>
      </c>
      <c r="D3" s="9">
        <v>3</v>
      </c>
      <c r="E3" s="9">
        <v>4</v>
      </c>
      <c r="F3" s="9">
        <v>5</v>
      </c>
      <c r="G3" s="9">
        <v>6</v>
      </c>
      <c r="H3" s="17"/>
      <c r="I3" s="3"/>
      <c r="J3" s="21" t="s">
        <v>54</v>
      </c>
      <c r="O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ht="18">
      <c r="A4" s="2">
        <v>100</v>
      </c>
      <c r="B4" s="14">
        <f t="shared" ref="B4:G4" si="0">A4*$A$15</f>
        <v>105.94342369612507</v>
      </c>
      <c r="C4" s="14">
        <f t="shared" si="0"/>
        <v>112.24009024456673</v>
      </c>
      <c r="D4" s="14">
        <f t="shared" si="0"/>
        <v>118.91099436471445</v>
      </c>
      <c r="E4" s="14">
        <f t="shared" si="0"/>
        <v>125.97837858108483</v>
      </c>
      <c r="F4" s="14">
        <f t="shared" si="0"/>
        <v>133.46580738566715</v>
      </c>
      <c r="G4" s="14">
        <f t="shared" si="0"/>
        <v>141.39824580805151</v>
      </c>
      <c r="J4" s="11" t="s">
        <v>45</v>
      </c>
      <c r="K4" s="11" t="s">
        <v>46</v>
      </c>
      <c r="L4" s="11" t="s">
        <v>47</v>
      </c>
      <c r="M4" s="22" t="s">
        <v>48</v>
      </c>
      <c r="N4" s="22" t="s">
        <v>49</v>
      </c>
    </row>
    <row r="5" spans="1:45">
      <c r="A5" s="1"/>
      <c r="B5" s="14">
        <f>A4*$B$15</f>
        <v>94.390002240089544</v>
      </c>
      <c r="C5" s="14">
        <f>B5*$A$15</f>
        <v>100</v>
      </c>
      <c r="D5" s="14">
        <f>C5*$A$15</f>
        <v>105.94342369612507</v>
      </c>
      <c r="E5" s="14">
        <f>D5*$A$15</f>
        <v>112.24009024456673</v>
      </c>
      <c r="F5" s="14">
        <f>E5*$A$15</f>
        <v>118.91099436471445</v>
      </c>
      <c r="G5" s="14">
        <f>F5*$A$15</f>
        <v>125.97837858108483</v>
      </c>
      <c r="J5" s="23">
        <v>100</v>
      </c>
      <c r="K5" s="23">
        <v>105</v>
      </c>
      <c r="L5" s="23">
        <v>0.03</v>
      </c>
      <c r="M5" s="23">
        <v>0.14399999999999999</v>
      </c>
      <c r="N5" s="23">
        <f>1</f>
        <v>1</v>
      </c>
    </row>
    <row r="6" spans="1:45" ht="18">
      <c r="A6" s="1"/>
      <c r="B6" s="15"/>
      <c r="C6" s="14">
        <f>B5*$B$15</f>
        <v>89.094725228841085</v>
      </c>
      <c r="D6" s="14">
        <f>C6*$A$15</f>
        <v>94.390002240089544</v>
      </c>
      <c r="E6" s="14">
        <f>D6*$A$15</f>
        <v>100</v>
      </c>
      <c r="F6" s="14">
        <f>E6*$A$15</f>
        <v>105.94342369612507</v>
      </c>
      <c r="G6" s="14">
        <f>F6*$A$15</f>
        <v>112.24009024456673</v>
      </c>
      <c r="H6" s="1"/>
      <c r="J6" s="10"/>
      <c r="K6" s="11" t="s">
        <v>50</v>
      </c>
      <c r="L6" s="11" t="s">
        <v>51</v>
      </c>
      <c r="M6" s="11" t="s">
        <v>52</v>
      </c>
      <c r="N6" s="11" t="s">
        <v>53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>
      <c r="A7" s="1"/>
      <c r="C7" s="15"/>
      <c r="D7" s="14">
        <f>C6*$B$15</f>
        <v>84.096513139304719</v>
      </c>
      <c r="E7" s="14">
        <f>D7*$A$15</f>
        <v>89.094725228841085</v>
      </c>
      <c r="F7" s="14">
        <f>E7*$A$15</f>
        <v>94.390002240089544</v>
      </c>
      <c r="G7" s="14">
        <f>F7*$A$15</f>
        <v>100</v>
      </c>
      <c r="H7" s="1"/>
      <c r="J7" s="10"/>
      <c r="K7" s="23">
        <f>(LN(J5/K5) + (L5+M5^2/2)*N5)/(M5*SQRT(N5))</f>
        <v>-5.8487251176611493E-2</v>
      </c>
      <c r="L7" s="23">
        <f>K7-M5*SQRT(N5)</f>
        <v>-0.20248725117661148</v>
      </c>
      <c r="M7" s="24">
        <f>EXP(-L5*N5)*(J5*EXP(L5*N5)*NORMSDIST(K7)-K5*NORMSDIST(L7))</f>
        <v>4.8950268466901985</v>
      </c>
      <c r="N7" s="24">
        <f>K5*EXP(-L5*N5)*NORMSDIST(-L7)-J5*NORMSDIST(-K7)</f>
        <v>6.7918078692835522</v>
      </c>
      <c r="P7" t="s">
        <v>5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>
      <c r="A8" s="1"/>
      <c r="C8" s="15"/>
      <c r="D8" s="15"/>
      <c r="E8" s="14">
        <f>D7*$B$15</f>
        <v>79.37870063602692</v>
      </c>
      <c r="F8" s="14">
        <f>E8*$A$15</f>
        <v>84.096513139304719</v>
      </c>
      <c r="G8" s="14">
        <f>F8*$A$15</f>
        <v>89.094725228841085</v>
      </c>
      <c r="H8" s="1"/>
      <c r="J8" s="25" t="s">
        <v>55</v>
      </c>
      <c r="K8" s="28">
        <f>NORMSDIST(K7)</f>
        <v>0.47668025859930419</v>
      </c>
      <c r="P8" s="26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>
      <c r="A9" s="1"/>
      <c r="B9" s="15"/>
      <c r="C9" s="15"/>
      <c r="D9" s="15"/>
      <c r="E9" s="15"/>
      <c r="F9" s="14">
        <f>E8*$B$15</f>
        <v>74.925557308499776</v>
      </c>
      <c r="G9" s="14">
        <f>F9*$A$15</f>
        <v>79.37870063602692</v>
      </c>
      <c r="H9" s="1"/>
      <c r="J9" s="25" t="s">
        <v>56</v>
      </c>
      <c r="K9" s="28">
        <f>-NORMSDIST(-K7)</f>
        <v>-0.52331974140069581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>
      <c r="A10" s="1"/>
      <c r="B10" s="15"/>
      <c r="C10" s="15"/>
      <c r="D10" s="15"/>
      <c r="E10" s="15"/>
      <c r="F10" s="15"/>
      <c r="G10" s="14">
        <f>F9*$B$15</f>
        <v>70.722235221892518</v>
      </c>
      <c r="H10" s="1"/>
      <c r="J10" s="27" t="s">
        <v>57</v>
      </c>
      <c r="K10" s="29">
        <f>EXP(-(K7^2)/2)/(SQRT(2*PI()*N5)*J5*M5)</f>
        <v>2.7656980624503939E-2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>
      <c r="H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ht="18">
      <c r="A12" s="21" t="s">
        <v>36</v>
      </c>
    </row>
    <row r="14" spans="1:45">
      <c r="A14" s="4" t="s">
        <v>0</v>
      </c>
      <c r="B14" s="4" t="s">
        <v>1</v>
      </c>
      <c r="C14" s="4" t="s">
        <v>2</v>
      </c>
      <c r="D14" s="4" t="s">
        <v>3</v>
      </c>
      <c r="E14" s="4" t="s">
        <v>4</v>
      </c>
      <c r="F14" s="4" t="s">
        <v>27</v>
      </c>
      <c r="G14" s="4" t="s">
        <v>6</v>
      </c>
      <c r="H14" s="6" t="s">
        <v>7</v>
      </c>
      <c r="I14" s="7" t="s">
        <v>5</v>
      </c>
      <c r="J14" s="6" t="s">
        <v>8</v>
      </c>
      <c r="K14" s="6" t="s">
        <v>9</v>
      </c>
      <c r="L14" s="19" t="s">
        <v>10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>
      <c r="A15" s="8">
        <f>EXP(K15*SQRT(1/L15))</f>
        <v>1.0594342369612506</v>
      </c>
      <c r="B15" s="8">
        <f>1/A15</f>
        <v>0.94390002240089543</v>
      </c>
      <c r="C15" s="8">
        <v>100</v>
      </c>
      <c r="D15" s="8">
        <v>90</v>
      </c>
      <c r="E15" s="8">
        <v>100</v>
      </c>
      <c r="F15" s="8">
        <v>110</v>
      </c>
      <c r="G15" s="8">
        <f>1+H15/L15</f>
        <v>1.0041666666666667</v>
      </c>
      <c r="H15" s="8">
        <v>0.05</v>
      </c>
      <c r="I15" s="3" t="s">
        <v>5</v>
      </c>
      <c r="J15" s="8">
        <f>(G15-B15)/(A15-B15)</f>
        <v>0.52163460404439643</v>
      </c>
      <c r="K15" s="8">
        <v>0.2</v>
      </c>
      <c r="L15" s="20">
        <v>12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>
      <c r="A17" s="1"/>
      <c r="B17" s="9">
        <v>1</v>
      </c>
      <c r="C17" s="9">
        <v>2</v>
      </c>
      <c r="D17" s="9">
        <v>3</v>
      </c>
      <c r="E17" s="9">
        <v>4</v>
      </c>
      <c r="F17" s="9">
        <v>5</v>
      </c>
      <c r="G17" s="9">
        <v>6</v>
      </c>
      <c r="H17" s="1"/>
      <c r="I17" s="1"/>
      <c r="J17" s="9">
        <v>1</v>
      </c>
      <c r="K17" s="9">
        <v>2</v>
      </c>
      <c r="L17" s="9">
        <v>3</v>
      </c>
      <c r="M17" s="9">
        <v>4</v>
      </c>
      <c r="N17" s="9">
        <v>5</v>
      </c>
      <c r="O17" s="9">
        <v>6</v>
      </c>
      <c r="P17" s="1"/>
      <c r="Q17" s="1"/>
      <c r="R17" s="9">
        <v>1</v>
      </c>
      <c r="S17" s="9">
        <v>2</v>
      </c>
      <c r="T17" s="9">
        <v>3</v>
      </c>
      <c r="U17" s="9">
        <v>4</v>
      </c>
      <c r="V17" s="9">
        <v>5</v>
      </c>
      <c r="W17" s="9">
        <v>6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>
      <c r="A18" s="16">
        <f t="shared" ref="A18:F18" si="1">1/$G$15*($J$15*B18+(1-$J$15)*B19)</f>
        <v>13.443767695943496</v>
      </c>
      <c r="B18" s="14">
        <f t="shared" si="1"/>
        <v>18.176891157639687</v>
      </c>
      <c r="C18" s="14">
        <f t="shared" si="1"/>
        <v>23.771217082812889</v>
      </c>
      <c r="D18" s="14">
        <f t="shared" si="1"/>
        <v>30.026684064340543</v>
      </c>
      <c r="E18" s="14">
        <f t="shared" si="1"/>
        <v>36.723716987792692</v>
      </c>
      <c r="F18" s="14">
        <f t="shared" si="1"/>
        <v>43.839251369069643</v>
      </c>
      <c r="G18" s="14">
        <f t="shared" ref="G18:G24" si="2">MAX(G4-$D$15,0)</f>
        <v>51.398245808051513</v>
      </c>
      <c r="H18" s="1"/>
      <c r="I18" s="16">
        <f t="shared" ref="I18:N18" si="3">1/$G$15*($J$15*J18+(1-$J$15)*J19)</f>
        <v>6.656347441605722</v>
      </c>
      <c r="J18" s="14">
        <f t="shared" si="3"/>
        <v>9.9656483195001755</v>
      </c>
      <c r="K18" s="14">
        <f t="shared" si="3"/>
        <v>14.451172189716532</v>
      </c>
      <c r="L18" s="14">
        <f t="shared" si="3"/>
        <v>20.150649586521222</v>
      </c>
      <c r="M18" s="14">
        <f t="shared" si="3"/>
        <v>26.806532366315789</v>
      </c>
      <c r="N18" s="14">
        <f t="shared" si="3"/>
        <v>33.880745145003246</v>
      </c>
      <c r="O18" s="14">
        <f t="shared" ref="O18:O24" si="4">MAX(G4-$E$15,0)</f>
        <v>41.398245808051513</v>
      </c>
      <c r="P18" s="1"/>
      <c r="Q18" s="16">
        <f t="shared" ref="Q18:V18" si="5">1/$G$15*($J$15*R18+(1-$J$15)*R19)</f>
        <v>2.8998413708914361</v>
      </c>
      <c r="R18" s="14">
        <f t="shared" si="5"/>
        <v>4.6717186437969547</v>
      </c>
      <c r="S18" s="14">
        <f t="shared" si="5"/>
        <v>7.3775032933300162</v>
      </c>
      <c r="T18" s="14">
        <f t="shared" si="5"/>
        <v>11.355705147210994</v>
      </c>
      <c r="U18" s="14">
        <f t="shared" si="5"/>
        <v>16.889347744838886</v>
      </c>
      <c r="V18" s="14">
        <f t="shared" si="5"/>
        <v>23.922238920936856</v>
      </c>
      <c r="W18" s="14">
        <f t="shared" ref="W18:W24" si="6">MAX(G4-$F$15,0)</f>
        <v>31.398245808051513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>
      <c r="A19" s="18" t="s">
        <v>38</v>
      </c>
      <c r="B19" s="14">
        <f>1/$G$15*($J$15*C19+(1-$J$15)*C20)</f>
        <v>8.3996208899609428</v>
      </c>
      <c r="C19" s="14">
        <f>1/$G$15*($J$15*D19+(1-$J$15)*D20)</f>
        <v>12.234870755631624</v>
      </c>
      <c r="D19" s="14">
        <f>1/$G$15*($J$15*E19+(1-$J$15)*E20)</f>
        <v>17.1569817494725</v>
      </c>
      <c r="E19" s="14">
        <f>1/$G$15*($J$15*F19+(1-$J$15)*F20)</f>
        <v>22.985428651274599</v>
      </c>
      <c r="F19" s="14">
        <f>1/$G$15*($J$15*G19+(1-$J$15)*G20)</f>
        <v>29.284438348116943</v>
      </c>
      <c r="G19" s="14">
        <f t="shared" si="2"/>
        <v>35.978378581084826</v>
      </c>
      <c r="H19" s="1"/>
      <c r="I19" s="18" t="s">
        <v>39</v>
      </c>
      <c r="J19" s="14">
        <f>1/$G$15*($J$15*K19+(1-$J$15)*K20)</f>
        <v>3.1056912142577215</v>
      </c>
      <c r="K19" s="14">
        <f>1/$G$15*($J$15*L19+(1-$J$15)*L20)</f>
        <v>5.161201859245109</v>
      </c>
      <c r="L19" s="14">
        <f>1/$G$15*($J$15*M19+(1-$J$15)*M20)</f>
        <v>8.3620373101622736</v>
      </c>
      <c r="M19" s="14">
        <f>1/$G$15*($J$15*N19+(1-$J$15)*N20)</f>
        <v>13.068244029797691</v>
      </c>
      <c r="N19" s="14">
        <f>1/$G$15*($J$15*O19+(1-$J$15)*O20)</f>
        <v>19.325932124050553</v>
      </c>
      <c r="O19" s="14">
        <f t="shared" si="4"/>
        <v>25.978378581084826</v>
      </c>
      <c r="P19" s="1"/>
      <c r="Q19" s="18" t="s">
        <v>40</v>
      </c>
      <c r="R19" s="14">
        <f>1/$G$15*($J$15*S19+(1-$J$15)*S20)</f>
        <v>0.99295212890019546</v>
      </c>
      <c r="S19" s="14">
        <f>1/$G$15*($J$15*T19+(1-$J$15)*T20)</f>
        <v>1.7618814739097388</v>
      </c>
      <c r="T19" s="14">
        <f>1/$G$15*($J$15*U19+(1-$J$15)*U20)</f>
        <v>3.1037239416310767</v>
      </c>
      <c r="U19" s="14">
        <f>1/$G$15*($J$15*V19+(1-$J$15)*V20)</f>
        <v>5.420442999848321</v>
      </c>
      <c r="V19" s="14">
        <f>1/$G$15*($J$15*W19+(1-$J$15)*W20)</f>
        <v>9.3674258999841626</v>
      </c>
      <c r="W19" s="14">
        <f t="shared" si="6"/>
        <v>15.978378581084826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>
      <c r="A20" s="15"/>
      <c r="B20" s="15"/>
      <c r="C20" s="14">
        <f>1/$G$15*($J$15*D20+(1-$J$15)*D21)</f>
        <v>4.290626716607238</v>
      </c>
      <c r="D20" s="14">
        <f>1/$G$15*($J$15*E20+(1-$J$15)*E21)</f>
        <v>6.9741123218843599</v>
      </c>
      <c r="E20" s="14">
        <f>1/$G$15*($J$15*F20+(1-$J$15)*F21)</f>
        <v>10.950779977857055</v>
      </c>
      <c r="F20" s="14">
        <f>1/$G$15*($J$15*G20+(1-$J$15)*G21)</f>
        <v>16.316867679527547</v>
      </c>
      <c r="G20" s="14">
        <f t="shared" si="2"/>
        <v>22.24009024456673</v>
      </c>
      <c r="H20" s="1"/>
      <c r="I20" s="15"/>
      <c r="J20" s="15"/>
      <c r="K20" s="14">
        <f>1/$G$15*($J$15*L20+(1-$J$15)*L21)</f>
        <v>0.89130633127186798</v>
      </c>
      <c r="L20" s="14">
        <f>1/$G$15*($J$15*M20+(1-$J$15)*M21)</f>
        <v>1.7157989533531639</v>
      </c>
      <c r="M20" s="14">
        <f>1/$G$15*($J$15*N20+(1-$J$15)*N21)</f>
        <v>3.3029789479076843</v>
      </c>
      <c r="N20" s="14">
        <f>1/$G$15*($J$15*O20+(1-$J$15)*O21)</f>
        <v>6.3583614554611572</v>
      </c>
      <c r="O20" s="14">
        <f t="shared" si="4"/>
        <v>12.24009024456673</v>
      </c>
      <c r="P20" s="1"/>
      <c r="Q20" s="15"/>
      <c r="R20" s="15"/>
      <c r="S20" s="14">
        <f>1/$G$15*($J$15*T20+(1-$J$15)*T21)</f>
        <v>0.16312025301357155</v>
      </c>
      <c r="T20" s="14">
        <f>1/$G$15*($J$15*U20+(1-$J$15)*U21)</f>
        <v>0.31401275809631751</v>
      </c>
      <c r="U20" s="14">
        <f>1/$G$15*($J$15*V20+(1-$J$15)*V21)</f>
        <v>0.60448663133849234</v>
      </c>
      <c r="V20" s="14">
        <f>1/$G$15*($J$15*W20+(1-$J$15)*W21)</f>
        <v>1.1636600043966288</v>
      </c>
      <c r="W20" s="14">
        <f t="shared" si="6"/>
        <v>2.2400902445667299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>
      <c r="A21" s="15"/>
      <c r="B21" s="15"/>
      <c r="C21" s="15"/>
      <c r="D21" s="14">
        <f>1/$G$15*($J$15*E21+(1-$J$15)*E22)</f>
        <v>1.4017861952568464</v>
      </c>
      <c r="E21" s="14">
        <f>1/$G$15*($J$15*F21+(1-$J$15)*F22)</f>
        <v>2.6984923165691921</v>
      </c>
      <c r="F21" s="14">
        <f>1/$G$15*($J$15*G21+(1-$J$15)*G22)</f>
        <v>5.1947014510645291</v>
      </c>
      <c r="G21" s="14">
        <f t="shared" si="2"/>
        <v>10</v>
      </c>
      <c r="H21" s="1"/>
      <c r="I21" s="15"/>
      <c r="J21" s="15"/>
      <c r="K21" s="15"/>
      <c r="L21" s="14">
        <f>1/$G$15*($J$15*M21+(1-$J$15)*M22)</f>
        <v>0</v>
      </c>
      <c r="M21" s="14">
        <f>1/$G$15*($J$15*N21+(1-$J$15)*N22)</f>
        <v>0</v>
      </c>
      <c r="N21" s="14">
        <f>1/$G$15*($J$15*O21+(1-$J$15)*O22)</f>
        <v>0</v>
      </c>
      <c r="O21" s="14">
        <f t="shared" si="4"/>
        <v>0</v>
      </c>
      <c r="P21" s="1"/>
      <c r="Q21" s="15"/>
      <c r="R21" s="15"/>
      <c r="S21" s="15"/>
      <c r="T21" s="14">
        <f>1/$G$15*($J$15*U21+(1-$J$15)*U22)</f>
        <v>0</v>
      </c>
      <c r="U21" s="14">
        <f>1/$G$15*($J$15*V21+(1-$J$15)*V22)</f>
        <v>0</v>
      </c>
      <c r="V21" s="14">
        <f>1/$G$15*($J$15*W21+(1-$J$15)*W22)</f>
        <v>0</v>
      </c>
      <c r="W21" s="14">
        <f t="shared" si="6"/>
        <v>0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>
      <c r="A22" s="15"/>
      <c r="B22" s="15"/>
      <c r="C22" s="15"/>
      <c r="D22" s="15"/>
      <c r="E22" s="14">
        <f>1/$G$15*($J$15*F22+(1-$J$15)*F23)</f>
        <v>0</v>
      </c>
      <c r="F22" s="14">
        <f>1/$G$15*($J$15*G22+(1-$J$15)*G23)</f>
        <v>0</v>
      </c>
      <c r="G22" s="14">
        <f t="shared" si="2"/>
        <v>0</v>
      </c>
      <c r="H22" s="1"/>
      <c r="I22" s="15"/>
      <c r="J22" s="15"/>
      <c r="K22" s="15"/>
      <c r="L22" s="15"/>
      <c r="M22" s="14">
        <f>1/$G$15*($J$15*N22+(1-$J$15)*N23)</f>
        <v>0</v>
      </c>
      <c r="N22" s="14">
        <f>1/$G$15*($J$15*O22+(1-$J$15)*O23)</f>
        <v>0</v>
      </c>
      <c r="O22" s="14">
        <f t="shared" si="4"/>
        <v>0</v>
      </c>
      <c r="P22" s="1"/>
      <c r="Q22" s="15"/>
      <c r="R22" s="15"/>
      <c r="S22" s="15"/>
      <c r="T22" s="15"/>
      <c r="U22" s="14">
        <f>1/$G$15*($J$15*V22+(1-$J$15)*V23)</f>
        <v>0</v>
      </c>
      <c r="V22" s="14">
        <f>1/$G$15*($J$15*W22+(1-$J$15)*W23)</f>
        <v>0</v>
      </c>
      <c r="W22" s="14">
        <f t="shared" si="6"/>
        <v>0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>
      <c r="A23" s="15"/>
      <c r="B23" s="15"/>
      <c r="C23" s="15"/>
      <c r="D23" s="15"/>
      <c r="E23" s="15"/>
      <c r="F23" s="14">
        <f>1/$G$15*($J$15*G23+(1-$J$15)*G24)</f>
        <v>0</v>
      </c>
      <c r="G23" s="14">
        <f t="shared" si="2"/>
        <v>0</v>
      </c>
      <c r="H23" s="1"/>
      <c r="I23" s="15"/>
      <c r="J23" s="15"/>
      <c r="K23" s="15"/>
      <c r="L23" s="15"/>
      <c r="M23" s="15"/>
      <c r="N23" s="14">
        <f>1/$G$15*($J$15*O23+(1-$J$15)*O24)</f>
        <v>0</v>
      </c>
      <c r="O23" s="14">
        <f t="shared" si="4"/>
        <v>0</v>
      </c>
      <c r="P23" s="1"/>
      <c r="Q23" s="15"/>
      <c r="R23" s="15"/>
      <c r="S23" s="15"/>
      <c r="T23" s="15"/>
      <c r="U23" s="15"/>
      <c r="V23" s="14">
        <f>1/$G$15*($J$15*W23+(1-$J$15)*W24)</f>
        <v>0</v>
      </c>
      <c r="W23" s="14">
        <f t="shared" si="6"/>
        <v>0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>
      <c r="A24" s="15"/>
      <c r="B24" s="15"/>
      <c r="C24" s="15"/>
      <c r="D24" s="15"/>
      <c r="E24" s="15"/>
      <c r="F24" s="15"/>
      <c r="G24" s="14">
        <f t="shared" si="2"/>
        <v>0</v>
      </c>
      <c r="H24" s="1"/>
      <c r="I24" s="15"/>
      <c r="J24" s="15"/>
      <c r="K24" s="15"/>
      <c r="L24" s="15"/>
      <c r="M24" s="15"/>
      <c r="N24" s="15"/>
      <c r="O24" s="14">
        <f t="shared" si="4"/>
        <v>0</v>
      </c>
      <c r="P24" s="1"/>
      <c r="Q24" s="15"/>
      <c r="R24" s="15"/>
      <c r="S24" s="15"/>
      <c r="T24" s="15"/>
      <c r="U24" s="15"/>
      <c r="V24" s="15"/>
      <c r="W24" s="14">
        <f t="shared" si="6"/>
        <v>0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>
      <c r="A26" s="1"/>
      <c r="B26" s="1"/>
      <c r="C26" s="1"/>
      <c r="D26" s="1"/>
      <c r="E26" s="1"/>
      <c r="F26" s="1"/>
      <c r="G26" s="1"/>
      <c r="H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ht="18">
      <c r="A27" s="21" t="s">
        <v>37</v>
      </c>
    </row>
    <row r="28" spans="1:45">
      <c r="A28" s="1"/>
      <c r="B28" s="1"/>
      <c r="C28" s="1"/>
      <c r="D28" s="1"/>
      <c r="E28" s="1"/>
      <c r="F28" s="1"/>
      <c r="G28" s="1"/>
      <c r="H28" s="1"/>
      <c r="P28" s="1"/>
      <c r="Q28" s="1"/>
      <c r="R28" s="1"/>
      <c r="S28" s="1"/>
      <c r="T28" s="1"/>
      <c r="U28" s="1"/>
      <c r="V28" s="1"/>
      <c r="W28" s="1"/>
      <c r="X28" s="1"/>
    </row>
    <row r="29" spans="1:45">
      <c r="A29" s="4" t="s">
        <v>0</v>
      </c>
      <c r="B29" s="4" t="s">
        <v>1</v>
      </c>
      <c r="C29" s="4" t="s">
        <v>2</v>
      </c>
      <c r="D29" s="4" t="s">
        <v>3</v>
      </c>
      <c r="E29" s="4" t="s">
        <v>4</v>
      </c>
      <c r="F29" s="5" t="s">
        <v>5</v>
      </c>
      <c r="G29" s="4" t="s">
        <v>6</v>
      </c>
      <c r="H29" s="6" t="s">
        <v>7</v>
      </c>
      <c r="I29" s="7" t="s">
        <v>5</v>
      </c>
      <c r="J29" s="6" t="s">
        <v>8</v>
      </c>
      <c r="K29" s="6" t="s">
        <v>9</v>
      </c>
      <c r="L29" s="19" t="s">
        <v>10</v>
      </c>
      <c r="P29" s="1"/>
      <c r="Q29" s="1"/>
      <c r="R29" s="1"/>
      <c r="S29" s="1"/>
      <c r="T29" s="1"/>
      <c r="U29" s="1"/>
      <c r="V29" s="1"/>
      <c r="W29" s="1"/>
      <c r="X29" s="1"/>
    </row>
    <row r="30" spans="1:45">
      <c r="A30" s="8">
        <f>EXP(K30*SQRT(1/L30))</f>
        <v>1.0594342369612506</v>
      </c>
      <c r="B30" s="8">
        <f>1/A30</f>
        <v>0.94390002240089543</v>
      </c>
      <c r="C30" s="8">
        <v>100</v>
      </c>
      <c r="D30" s="8">
        <v>95</v>
      </c>
      <c r="E30" s="8">
        <v>99</v>
      </c>
      <c r="F30" s="3" t="s">
        <v>5</v>
      </c>
      <c r="G30" s="8">
        <f>1+H30/L30</f>
        <v>1.0041666666666667</v>
      </c>
      <c r="H30" s="8">
        <v>0.05</v>
      </c>
      <c r="I30" s="3" t="s">
        <v>5</v>
      </c>
      <c r="J30" s="8">
        <f>(G30-B30)/(A30-B30)</f>
        <v>0.52163460404439643</v>
      </c>
      <c r="K30" s="8">
        <v>0.2</v>
      </c>
      <c r="L30" s="20">
        <v>12</v>
      </c>
      <c r="P30" s="1"/>
      <c r="Q30" s="1"/>
      <c r="R30" s="1"/>
      <c r="S30" s="1"/>
      <c r="T30" s="1"/>
      <c r="U30" s="1"/>
      <c r="V30" s="1"/>
      <c r="W30" s="1"/>
      <c r="X30" s="1"/>
    </row>
    <row r="31" spans="1:45">
      <c r="A31" s="1"/>
      <c r="B31" s="1"/>
      <c r="C31" s="1"/>
      <c r="D31" s="1"/>
      <c r="E31" s="1"/>
      <c r="F31" s="1"/>
      <c r="G31" s="1"/>
      <c r="H31" s="1"/>
      <c r="P31" s="1"/>
      <c r="Q31" s="1"/>
      <c r="R31" s="1"/>
      <c r="S31" s="1"/>
      <c r="T31" s="1"/>
      <c r="U31" s="1"/>
      <c r="V31" s="1"/>
      <c r="W31" s="1"/>
      <c r="X31" s="1"/>
    </row>
    <row r="32" spans="1:45">
      <c r="H32" s="1"/>
      <c r="I32" s="1"/>
      <c r="J32" s="1"/>
      <c r="K32" s="1"/>
      <c r="L32" s="1"/>
      <c r="M32" s="1"/>
      <c r="N32" s="1"/>
      <c r="O32" s="1"/>
      <c r="X32" s="1"/>
    </row>
    <row r="33" spans="1:24">
      <c r="A33" s="1"/>
      <c r="B33" s="9">
        <v>1</v>
      </c>
      <c r="C33" s="9">
        <v>2</v>
      </c>
      <c r="D33" s="9">
        <v>3</v>
      </c>
      <c r="E33" s="9">
        <v>4</v>
      </c>
      <c r="F33" s="9">
        <v>5</v>
      </c>
      <c r="G33" s="9">
        <v>6</v>
      </c>
      <c r="H33" s="1"/>
      <c r="I33" s="1"/>
      <c r="J33" s="9">
        <v>1</v>
      </c>
      <c r="K33" s="9">
        <v>2</v>
      </c>
      <c r="L33" s="9">
        <v>3</v>
      </c>
      <c r="M33" s="9">
        <v>4</v>
      </c>
      <c r="N33" s="9">
        <v>5</v>
      </c>
      <c r="O33" s="9">
        <v>6</v>
      </c>
      <c r="X33" s="1"/>
    </row>
    <row r="34" spans="1:24">
      <c r="A34" s="16">
        <f t="shared" ref="A34:F34" si="7">1/$G$15*($J$15*B34+(1-$J$15)*B35)</f>
        <v>2.7093117254968049</v>
      </c>
      <c r="B34" s="14">
        <f t="shared" si="7"/>
        <v>1.1731804248200737</v>
      </c>
      <c r="C34" s="14">
        <f t="shared" si="7"/>
        <v>0.30412766733308028</v>
      </c>
      <c r="D34" s="14">
        <f t="shared" si="7"/>
        <v>0</v>
      </c>
      <c r="E34" s="14">
        <f t="shared" si="7"/>
        <v>0</v>
      </c>
      <c r="F34" s="14">
        <f t="shared" si="7"/>
        <v>0</v>
      </c>
      <c r="G34" s="14">
        <f t="shared" ref="G34:G40" si="8">MAX($D$30-G4,0)</f>
        <v>0</v>
      </c>
      <c r="H34" s="1"/>
      <c r="I34" s="16">
        <f t="shared" ref="I34:N34" si="9">1/$G$15*($J$15*J34+(1-$J$15)*J35)</f>
        <v>3.895785904044736</v>
      </c>
      <c r="J34" s="14">
        <f t="shared" si="9"/>
        <v>1.8063815793484883</v>
      </c>
      <c r="K34" s="14">
        <f t="shared" si="9"/>
        <v>0.51013174275285622</v>
      </c>
      <c r="L34" s="14">
        <f t="shared" si="9"/>
        <v>0</v>
      </c>
      <c r="M34" s="14">
        <f t="shared" si="9"/>
        <v>0</v>
      </c>
      <c r="N34" s="14">
        <f t="shared" si="9"/>
        <v>0</v>
      </c>
      <c r="O34" s="14">
        <f t="shared" ref="O34:O40" si="10">MAX($E$30-G4,0)</f>
        <v>0</v>
      </c>
      <c r="X34" s="1"/>
    </row>
    <row r="35" spans="1:24">
      <c r="A35" s="18" t="s">
        <v>41</v>
      </c>
      <c r="B35" s="14">
        <f>1/$G$15*($J$15*C35+(1-$J$15)*C36)</f>
        <v>4.4079881943949903</v>
      </c>
      <c r="C35" s="14">
        <f>1/$G$15*($J$15*D35+(1-$J$15)*D36)</f>
        <v>2.131059583073462</v>
      </c>
      <c r="D35" s="14">
        <f>1/$G$15*($J$15*E35+(1-$J$15)*E36)</f>
        <v>0.63841337297589851</v>
      </c>
      <c r="E35" s="14">
        <f>1/$G$15*($J$15*F35+(1-$J$15)*F36)</f>
        <v>0</v>
      </c>
      <c r="F35" s="14">
        <f>1/$G$15*($J$15*G35+(1-$J$15)*G36)</f>
        <v>0</v>
      </c>
      <c r="G35" s="14">
        <f t="shared" si="8"/>
        <v>0</v>
      </c>
      <c r="H35" s="1"/>
      <c r="I35" s="18" t="s">
        <v>42</v>
      </c>
      <c r="J35" s="14">
        <f>1/$G$15*($J$15*K35+(1-$J$15)*K36)</f>
        <v>6.208114613897922</v>
      </c>
      <c r="K35" s="14">
        <f>1/$G$15*($J$15*L35+(1-$J$15)*L36)</f>
        <v>3.2356140571771754</v>
      </c>
      <c r="L35" s="14">
        <f>1/$G$15*($J$15*M35+(1-$J$15)*M36)</f>
        <v>1.0708493883795369</v>
      </c>
      <c r="M35" s="14">
        <f>1/$G$15*($J$15*N35+(1-$J$15)*N36)</f>
        <v>0</v>
      </c>
      <c r="N35" s="14">
        <f>1/$G$15*($J$15*O35+(1-$J$15)*O36)</f>
        <v>0</v>
      </c>
      <c r="O35" s="14">
        <f t="shared" si="10"/>
        <v>0</v>
      </c>
      <c r="X35" s="1"/>
    </row>
    <row r="36" spans="1:24">
      <c r="A36" s="15"/>
      <c r="B36" s="15"/>
      <c r="C36" s="14">
        <f>1/$G$15*($J$15*D36+(1-$J$15)*D37)</f>
        <v>6.9292645707335598</v>
      </c>
      <c r="D36" s="14">
        <f>1/$G$15*($J$15*E36+(1-$J$15)*E37)</f>
        <v>3.777280936812792</v>
      </c>
      <c r="E36" s="14">
        <f>1/$G$15*($J$15*F36+(1-$J$15)*F37)</f>
        <v>1.340133366912954</v>
      </c>
      <c r="F36" s="14">
        <f>1/$G$15*($J$15*G36+(1-$J$15)*G37)</f>
        <v>0</v>
      </c>
      <c r="G36" s="14">
        <f t="shared" si="8"/>
        <v>0</v>
      </c>
      <c r="H36" s="1"/>
      <c r="I36" s="15"/>
      <c r="J36" s="15"/>
      <c r="K36" s="14">
        <f>1/$G$15*($J$15*L36+(1-$J$15)*L37)</f>
        <v>9.5035584492577314</v>
      </c>
      <c r="L36" s="14">
        <f>1/$G$15*($J$15*M36+(1-$J$15)*M37)</f>
        <v>5.6243693805280417</v>
      </c>
      <c r="M36" s="14">
        <f>1/$G$15*($J$15*N36+(1-$J$15)*N37)</f>
        <v>2.2478868035239667</v>
      </c>
      <c r="N36" s="14">
        <f>1/$G$15*($J$15*O36+(1-$J$15)*O37)</f>
        <v>0</v>
      </c>
      <c r="O36" s="14">
        <f t="shared" si="10"/>
        <v>0</v>
      </c>
      <c r="X36" s="1"/>
    </row>
    <row r="37" spans="1:24">
      <c r="A37" s="15"/>
      <c r="B37" s="15"/>
      <c r="C37" s="15"/>
      <c r="D37" s="14">
        <f>1/$G$15*($J$15*E37+(1-$J$15)*E38)</f>
        <v>10.42670749760727</v>
      </c>
      <c r="E37" s="14">
        <f>1/$G$15*($J$15*F37+(1-$J$15)*F38)</f>
        <v>6.4677748334740937</v>
      </c>
      <c r="F37" s="14">
        <f>1/$G$15*($J$15*G37+(1-$J$15)*G38)</f>
        <v>2.8131576140734316</v>
      </c>
      <c r="G37" s="14">
        <f t="shared" si="8"/>
        <v>0</v>
      </c>
      <c r="H37" s="1"/>
      <c r="I37" s="15"/>
      <c r="J37" s="15"/>
      <c r="K37" s="15"/>
      <c r="L37" s="14">
        <f>1/$G$15*($J$15*M37+(1-$J$15)*M38)</f>
        <v>13.816406810632262</v>
      </c>
      <c r="M37" s="14">
        <f>1/$G$15*($J$15*N37+(1-$J$15)*N38)</f>
        <v>9.3552517554371768</v>
      </c>
      <c r="N37" s="14">
        <f>1/$G$15*($J$15*O37+(1-$J$15)*O38)</f>
        <v>4.7186795232741758</v>
      </c>
      <c r="O37" s="14">
        <f t="shared" si="10"/>
        <v>0</v>
      </c>
      <c r="X37" s="1"/>
    </row>
    <row r="38" spans="1:24">
      <c r="A38" s="15"/>
      <c r="B38" s="15"/>
      <c r="C38" s="15"/>
      <c r="D38" s="15"/>
      <c r="E38" s="14">
        <f>1/$G$15*($J$15*F38+(1-$J$15)*F39)</f>
        <v>14.834553268003658</v>
      </c>
      <c r="F38" s="14">
        <f>1/$G$15*($J$15*G38+(1-$J$15)*G39)</f>
        <v>10.509295989325986</v>
      </c>
      <c r="G38" s="14">
        <f t="shared" si="8"/>
        <v>5.9052747711589149</v>
      </c>
      <c r="H38" s="1"/>
      <c r="I38" s="15"/>
      <c r="J38" s="15"/>
      <c r="K38" s="15"/>
      <c r="L38" s="15"/>
      <c r="M38" s="14">
        <f>1/$G$15*($J$15*N38+(1-$J$15)*N39)</f>
        <v>18.801427116594425</v>
      </c>
      <c r="N38" s="14">
        <f>1/$G$15*($J$15*O38+(1-$J$15)*O39)</f>
        <v>14.492698478952542</v>
      </c>
      <c r="O38" s="14">
        <f t="shared" si="10"/>
        <v>9.9052747711589149</v>
      </c>
      <c r="X38" s="1"/>
    </row>
    <row r="39" spans="1:24">
      <c r="A39" s="15"/>
      <c r="B39" s="15"/>
      <c r="C39" s="15"/>
      <c r="D39" s="15"/>
      <c r="E39" s="15"/>
      <c r="F39" s="14">
        <f>1/$G$15*($J$15*G39+(1-$J$15)*G40)</f>
        <v>19.680251820130923</v>
      </c>
      <c r="G39" s="14">
        <f t="shared" si="8"/>
        <v>15.62129936397308</v>
      </c>
      <c r="H39" s="1"/>
      <c r="I39" s="15"/>
      <c r="J39" s="15"/>
      <c r="K39" s="15"/>
      <c r="L39" s="15"/>
      <c r="M39" s="15"/>
      <c r="N39" s="14">
        <f>1/$G$15*($J$15*O39+(1-$J$15)*O40)</f>
        <v>23.663654309757479</v>
      </c>
      <c r="O39" s="14">
        <f t="shared" si="10"/>
        <v>19.62129936397308</v>
      </c>
      <c r="X39" s="1"/>
    </row>
    <row r="40" spans="1:24">
      <c r="A40" s="15"/>
      <c r="B40" s="15"/>
      <c r="C40" s="15"/>
      <c r="D40" s="15"/>
      <c r="E40" s="15"/>
      <c r="F40" s="15"/>
      <c r="G40" s="14">
        <f t="shared" si="8"/>
        <v>24.277764778107482</v>
      </c>
      <c r="H40" s="1"/>
      <c r="I40" s="15"/>
      <c r="J40" s="15"/>
      <c r="K40" s="15"/>
      <c r="L40" s="15"/>
      <c r="M40" s="15"/>
      <c r="N40" s="15"/>
      <c r="O40" s="14">
        <f t="shared" si="10"/>
        <v>28.277764778107482</v>
      </c>
      <c r="X40" s="1"/>
    </row>
    <row r="41" spans="1:24">
      <c r="A41" s="1"/>
      <c r="B41" s="1"/>
      <c r="C41" s="1"/>
      <c r="D41" s="1"/>
      <c r="E41" s="1"/>
      <c r="F41" s="1"/>
      <c r="G41" s="1"/>
      <c r="H41" s="1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s="1"/>
      <c r="B42" s="1"/>
      <c r="C42" s="1"/>
      <c r="D42" s="1"/>
      <c r="E42" s="1"/>
      <c r="F42" s="1"/>
      <c r="G42" s="1"/>
      <c r="H42" s="1"/>
      <c r="P42" s="1"/>
      <c r="Q42" s="1"/>
      <c r="R42" s="1"/>
      <c r="S42" s="1"/>
      <c r="T42" s="1"/>
      <c r="U42" s="1"/>
      <c r="V42" s="1"/>
      <c r="W42" s="1"/>
      <c r="X42" s="1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Z37"/>
  <sheetViews>
    <sheetView topLeftCell="A3" zoomScaleNormal="100" workbookViewId="0">
      <selection activeCell="P37" activeCellId="1" sqref="A6:A37 P6:P37"/>
    </sheetView>
  </sheetViews>
  <sheetFormatPr defaultRowHeight="15"/>
  <cols>
    <col min="1" max="1" width="4.85546875" style="10" bestFit="1" customWidth="1"/>
    <col min="2" max="2" width="10.42578125" style="10" bestFit="1" customWidth="1"/>
    <col min="3" max="3" width="8.42578125" style="10" bestFit="1" customWidth="1"/>
    <col min="4" max="4" width="7.5703125" style="10" bestFit="1" customWidth="1"/>
    <col min="5" max="5" width="6.5703125" style="10" bestFit="1" customWidth="1"/>
    <col min="6" max="24" width="9.140625" style="10"/>
    <col min="26" max="16384" width="9.140625" style="10"/>
  </cols>
  <sheetData>
    <row r="2" spans="1:26">
      <c r="C2" s="10" t="s">
        <v>31</v>
      </c>
      <c r="D2" s="10" t="s">
        <v>32</v>
      </c>
      <c r="I2" s="10" t="s">
        <v>33</v>
      </c>
      <c r="J2" s="10" t="s">
        <v>34</v>
      </c>
    </row>
    <row r="3" spans="1:26" ht="18">
      <c r="A3" s="11" t="s">
        <v>11</v>
      </c>
      <c r="B3" s="11" t="s">
        <v>24</v>
      </c>
      <c r="C3" s="11" t="s">
        <v>13</v>
      </c>
      <c r="D3" s="11" t="s">
        <v>25</v>
      </c>
      <c r="E3" s="11" t="s">
        <v>28</v>
      </c>
      <c r="F3" s="11" t="s">
        <v>30</v>
      </c>
      <c r="G3"/>
      <c r="H3" s="11" t="s">
        <v>11</v>
      </c>
      <c r="I3" s="11" t="s">
        <v>12</v>
      </c>
      <c r="J3" s="11" t="s">
        <v>13</v>
      </c>
      <c r="K3" s="11" t="s">
        <v>14</v>
      </c>
      <c r="L3"/>
    </row>
    <row r="4" spans="1:26">
      <c r="A4" s="10">
        <f>Simulator!D15</f>
        <v>90</v>
      </c>
      <c r="B4" s="12">
        <f>Simulator!A18</f>
        <v>13.443767695943496</v>
      </c>
      <c r="C4" s="10">
        <f>Simulator!E15</f>
        <v>100</v>
      </c>
      <c r="D4" s="12">
        <f>Simulator!I18</f>
        <v>6.656347441605722</v>
      </c>
      <c r="E4" s="12">
        <f>Simulator!F15</f>
        <v>110</v>
      </c>
      <c r="F4" s="12">
        <f>Simulator!Q18</f>
        <v>2.8998413708914361</v>
      </c>
      <c r="G4"/>
      <c r="H4" s="10">
        <f>Simulator!D30</f>
        <v>95</v>
      </c>
      <c r="I4" s="12">
        <f>Simulator!A34</f>
        <v>2.7093117254968049</v>
      </c>
      <c r="J4" s="10">
        <f>Simulator!E30</f>
        <v>99</v>
      </c>
      <c r="K4" s="12">
        <f>Simulator!I34</f>
        <v>3.895785904044736</v>
      </c>
      <c r="L4"/>
    </row>
    <row r="5" spans="1:26">
      <c r="D5" s="12"/>
      <c r="G5"/>
    </row>
    <row r="6" spans="1:26">
      <c r="A6" s="11" t="s">
        <v>2</v>
      </c>
      <c r="B6" s="11" t="s">
        <v>19</v>
      </c>
      <c r="C6" s="11" t="s">
        <v>20</v>
      </c>
      <c r="D6" s="13" t="s">
        <v>21</v>
      </c>
      <c r="E6" s="11" t="s">
        <v>22</v>
      </c>
      <c r="F6" s="11" t="s">
        <v>23</v>
      </c>
      <c r="G6" s="11" t="s">
        <v>29</v>
      </c>
      <c r="I6" s="11" t="s">
        <v>15</v>
      </c>
      <c r="J6" s="11" t="s">
        <v>16</v>
      </c>
      <c r="K6" s="11" t="s">
        <v>17</v>
      </c>
      <c r="L6" s="11" t="s">
        <v>18</v>
      </c>
      <c r="M6" s="11" t="s">
        <v>26</v>
      </c>
      <c r="N6" s="11" t="s">
        <v>35</v>
      </c>
      <c r="O6" s="11" t="s">
        <v>44</v>
      </c>
      <c r="P6" s="11" t="s">
        <v>58</v>
      </c>
      <c r="Q6" s="11" t="s">
        <v>59</v>
      </c>
    </row>
    <row r="7" spans="1:26">
      <c r="A7" s="10">
        <v>0</v>
      </c>
      <c r="B7" s="10">
        <f>A7-100</f>
        <v>-100</v>
      </c>
      <c r="C7" s="12">
        <f>MAX(A7-$A$4,0)-$B$4</f>
        <v>-13.443767695943496</v>
      </c>
      <c r="D7" s="12">
        <f>MAX($H$4-A7,0)-$I$4</f>
        <v>92.290688274503196</v>
      </c>
      <c r="E7" s="12">
        <f>MAX(A7-$C$4,) - $D$4</f>
        <v>-6.656347441605722</v>
      </c>
      <c r="F7" s="12">
        <f>MAX($J$4-A7,0) - $K$4</f>
        <v>95.104214095955257</v>
      </c>
      <c r="G7" s="12">
        <f>MAX(A7-$E$4,0)-$F$4</f>
        <v>-2.8998413708914361</v>
      </c>
      <c r="I7" s="12">
        <f>B7-C7</f>
        <v>-86.556232304056508</v>
      </c>
      <c r="J7" s="12">
        <f t="shared" ref="J7:J37" si="0">B7+D7</f>
        <v>-7.7093117254968035</v>
      </c>
      <c r="K7" s="12">
        <f>(C7-E7)</f>
        <v>-6.787420254337774</v>
      </c>
      <c r="L7" s="12">
        <f>F7-D7</f>
        <v>2.8135258214520604</v>
      </c>
      <c r="M7" s="12">
        <f>B7+F7-E7</f>
        <v>1.7605615375609789</v>
      </c>
      <c r="N7" s="12">
        <f>C7+G7-2*E7</f>
        <v>-3.030914183623489</v>
      </c>
      <c r="O7" s="12">
        <f>-B7+C7</f>
        <v>86.556232304056508</v>
      </c>
      <c r="P7" s="12">
        <f>D7+G7</f>
        <v>89.390846903611759</v>
      </c>
      <c r="Q7" s="12">
        <f>E7+F7</f>
        <v>88.447866654349539</v>
      </c>
      <c r="Z7" s="12"/>
    </row>
    <row r="8" spans="1:26">
      <c r="A8" s="10">
        <v>5</v>
      </c>
      <c r="B8" s="10">
        <f t="shared" ref="B8:B37" si="1">A8-100</f>
        <v>-95</v>
      </c>
      <c r="C8" s="12">
        <f t="shared" ref="C8:C37" si="2">MAX(A8-$A$4,0)-$B$4</f>
        <v>-13.443767695943496</v>
      </c>
      <c r="D8" s="12">
        <f t="shared" ref="D8:D37" si="3">MAX($H$4-A8,0)-$I$4</f>
        <v>87.290688274503196</v>
      </c>
      <c r="E8" s="12">
        <f t="shared" ref="E8:E37" si="4">MAX(A8-$C$4,) - $D$4</f>
        <v>-6.656347441605722</v>
      </c>
      <c r="F8" s="12">
        <f t="shared" ref="F8:F37" si="5">MAX($J$4-A8,0) - $K$4</f>
        <v>90.104214095955257</v>
      </c>
      <c r="G8" s="12">
        <f t="shared" ref="G8:G37" si="6">MAX(A8-$E$4,0)-$F$4</f>
        <v>-2.8998413708914361</v>
      </c>
      <c r="I8" s="12">
        <f t="shared" ref="I8:I37" si="7">B8-C8</f>
        <v>-81.556232304056508</v>
      </c>
      <c r="J8" s="12">
        <f t="shared" si="0"/>
        <v>-7.7093117254968035</v>
      </c>
      <c r="K8" s="12">
        <f t="shared" ref="K8:K37" si="8">(C8-E8)</f>
        <v>-6.787420254337774</v>
      </c>
      <c r="L8" s="12">
        <f t="shared" ref="L8:L37" si="9">F8-D8</f>
        <v>2.8135258214520604</v>
      </c>
      <c r="M8" s="12">
        <f t="shared" ref="M8:M37" si="10">B8+F8-E8</f>
        <v>1.7605615375609789</v>
      </c>
      <c r="N8" s="12">
        <f t="shared" ref="N8:N37" si="11">C8+G8-2*E8</f>
        <v>-3.030914183623489</v>
      </c>
      <c r="O8" s="12">
        <f t="shared" ref="O8:O37" si="12">-B8+C8</f>
        <v>81.556232304056508</v>
      </c>
      <c r="P8" s="12">
        <f t="shared" ref="P8:P37" si="13">D8+G8</f>
        <v>84.390846903611759</v>
      </c>
      <c r="Q8" s="12">
        <f t="shared" ref="Q8:Q37" si="14">E8+F8</f>
        <v>83.447866654349539</v>
      </c>
    </row>
    <row r="9" spans="1:26">
      <c r="A9" s="10">
        <v>10</v>
      </c>
      <c r="B9" s="10">
        <f t="shared" si="1"/>
        <v>-90</v>
      </c>
      <c r="C9" s="12">
        <f t="shared" si="2"/>
        <v>-13.443767695943496</v>
      </c>
      <c r="D9" s="12">
        <f t="shared" si="3"/>
        <v>82.290688274503196</v>
      </c>
      <c r="E9" s="12">
        <f t="shared" si="4"/>
        <v>-6.656347441605722</v>
      </c>
      <c r="F9" s="12">
        <f t="shared" si="5"/>
        <v>85.104214095955257</v>
      </c>
      <c r="G9" s="12">
        <f t="shared" si="6"/>
        <v>-2.8998413708914361</v>
      </c>
      <c r="I9" s="12">
        <f t="shared" si="7"/>
        <v>-76.556232304056508</v>
      </c>
      <c r="J9" s="12">
        <f t="shared" si="0"/>
        <v>-7.7093117254968035</v>
      </c>
      <c r="K9" s="12">
        <f t="shared" si="8"/>
        <v>-6.787420254337774</v>
      </c>
      <c r="L9" s="12">
        <f t="shared" si="9"/>
        <v>2.8135258214520604</v>
      </c>
      <c r="M9" s="12">
        <f t="shared" si="10"/>
        <v>1.7605615375609789</v>
      </c>
      <c r="N9" s="12">
        <f t="shared" si="11"/>
        <v>-3.030914183623489</v>
      </c>
      <c r="O9" s="12">
        <f t="shared" si="12"/>
        <v>76.556232304056508</v>
      </c>
      <c r="P9" s="12">
        <f t="shared" si="13"/>
        <v>79.390846903611759</v>
      </c>
      <c r="Q9" s="12">
        <f t="shared" si="14"/>
        <v>78.447866654349539</v>
      </c>
    </row>
    <row r="10" spans="1:26">
      <c r="A10" s="10">
        <v>15</v>
      </c>
      <c r="B10" s="10">
        <f t="shared" si="1"/>
        <v>-85</v>
      </c>
      <c r="C10" s="12">
        <f t="shared" si="2"/>
        <v>-13.443767695943496</v>
      </c>
      <c r="D10" s="12">
        <f t="shared" si="3"/>
        <v>77.290688274503196</v>
      </c>
      <c r="E10" s="12">
        <f t="shared" si="4"/>
        <v>-6.656347441605722</v>
      </c>
      <c r="F10" s="12">
        <f t="shared" si="5"/>
        <v>80.104214095955257</v>
      </c>
      <c r="G10" s="12">
        <f t="shared" si="6"/>
        <v>-2.8998413708914361</v>
      </c>
      <c r="I10" s="12">
        <f t="shared" si="7"/>
        <v>-71.556232304056508</v>
      </c>
      <c r="J10" s="12">
        <f t="shared" si="0"/>
        <v>-7.7093117254968035</v>
      </c>
      <c r="K10" s="12">
        <f t="shared" si="8"/>
        <v>-6.787420254337774</v>
      </c>
      <c r="L10" s="12">
        <f t="shared" si="9"/>
        <v>2.8135258214520604</v>
      </c>
      <c r="M10" s="12">
        <f t="shared" si="10"/>
        <v>1.7605615375609789</v>
      </c>
      <c r="N10" s="12">
        <f t="shared" si="11"/>
        <v>-3.030914183623489</v>
      </c>
      <c r="O10" s="12">
        <f t="shared" si="12"/>
        <v>71.556232304056508</v>
      </c>
      <c r="P10" s="12">
        <f t="shared" si="13"/>
        <v>74.390846903611759</v>
      </c>
      <c r="Q10" s="12">
        <f t="shared" si="14"/>
        <v>73.447866654349539</v>
      </c>
    </row>
    <row r="11" spans="1:26">
      <c r="A11" s="10">
        <v>20</v>
      </c>
      <c r="B11" s="10">
        <f t="shared" si="1"/>
        <v>-80</v>
      </c>
      <c r="C11" s="12">
        <f t="shared" si="2"/>
        <v>-13.443767695943496</v>
      </c>
      <c r="D11" s="12">
        <f t="shared" si="3"/>
        <v>72.290688274503196</v>
      </c>
      <c r="E11" s="12">
        <f t="shared" si="4"/>
        <v>-6.656347441605722</v>
      </c>
      <c r="F11" s="12">
        <f t="shared" si="5"/>
        <v>75.104214095955257</v>
      </c>
      <c r="G11" s="12">
        <f t="shared" si="6"/>
        <v>-2.8998413708914361</v>
      </c>
      <c r="I11" s="12">
        <f t="shared" si="7"/>
        <v>-66.556232304056508</v>
      </c>
      <c r="J11" s="12">
        <f t="shared" si="0"/>
        <v>-7.7093117254968035</v>
      </c>
      <c r="K11" s="12">
        <f t="shared" si="8"/>
        <v>-6.787420254337774</v>
      </c>
      <c r="L11" s="12">
        <f t="shared" si="9"/>
        <v>2.8135258214520604</v>
      </c>
      <c r="M11" s="12">
        <f t="shared" si="10"/>
        <v>1.7605615375609789</v>
      </c>
      <c r="N11" s="12">
        <f t="shared" si="11"/>
        <v>-3.030914183623489</v>
      </c>
      <c r="O11" s="12">
        <f t="shared" si="12"/>
        <v>66.556232304056508</v>
      </c>
      <c r="P11" s="12">
        <f t="shared" si="13"/>
        <v>69.390846903611759</v>
      </c>
      <c r="Q11" s="12">
        <f t="shared" si="14"/>
        <v>68.447866654349539</v>
      </c>
    </row>
    <row r="12" spans="1:26">
      <c r="A12" s="10">
        <v>25</v>
      </c>
      <c r="B12" s="10">
        <f t="shared" si="1"/>
        <v>-75</v>
      </c>
      <c r="C12" s="12">
        <f t="shared" si="2"/>
        <v>-13.443767695943496</v>
      </c>
      <c r="D12" s="12">
        <f t="shared" si="3"/>
        <v>67.290688274503196</v>
      </c>
      <c r="E12" s="12">
        <f t="shared" si="4"/>
        <v>-6.656347441605722</v>
      </c>
      <c r="F12" s="12">
        <f t="shared" si="5"/>
        <v>70.104214095955257</v>
      </c>
      <c r="G12" s="12">
        <f t="shared" si="6"/>
        <v>-2.8998413708914361</v>
      </c>
      <c r="I12" s="12">
        <f t="shared" si="7"/>
        <v>-61.556232304056508</v>
      </c>
      <c r="J12" s="12">
        <f t="shared" si="0"/>
        <v>-7.7093117254968035</v>
      </c>
      <c r="K12" s="12">
        <f t="shared" si="8"/>
        <v>-6.787420254337774</v>
      </c>
      <c r="L12" s="12">
        <f t="shared" si="9"/>
        <v>2.8135258214520604</v>
      </c>
      <c r="M12" s="12">
        <f t="shared" si="10"/>
        <v>1.7605615375609789</v>
      </c>
      <c r="N12" s="12">
        <f t="shared" si="11"/>
        <v>-3.030914183623489</v>
      </c>
      <c r="O12" s="12">
        <f t="shared" si="12"/>
        <v>61.556232304056508</v>
      </c>
      <c r="P12" s="12">
        <f t="shared" si="13"/>
        <v>64.390846903611759</v>
      </c>
      <c r="Q12" s="12">
        <f t="shared" si="14"/>
        <v>63.447866654349532</v>
      </c>
    </row>
    <row r="13" spans="1:26">
      <c r="A13" s="10">
        <v>30</v>
      </c>
      <c r="B13" s="10">
        <f t="shared" si="1"/>
        <v>-70</v>
      </c>
      <c r="C13" s="12">
        <f t="shared" si="2"/>
        <v>-13.443767695943496</v>
      </c>
      <c r="D13" s="12">
        <f t="shared" si="3"/>
        <v>62.290688274503196</v>
      </c>
      <c r="E13" s="12">
        <f t="shared" si="4"/>
        <v>-6.656347441605722</v>
      </c>
      <c r="F13" s="12">
        <f t="shared" si="5"/>
        <v>65.104214095955257</v>
      </c>
      <c r="G13" s="12">
        <f t="shared" si="6"/>
        <v>-2.8998413708914361</v>
      </c>
      <c r="I13" s="12">
        <f t="shared" si="7"/>
        <v>-56.556232304056508</v>
      </c>
      <c r="J13" s="12">
        <f t="shared" si="0"/>
        <v>-7.7093117254968035</v>
      </c>
      <c r="K13" s="12">
        <f t="shared" si="8"/>
        <v>-6.787420254337774</v>
      </c>
      <c r="L13" s="12">
        <f t="shared" si="9"/>
        <v>2.8135258214520604</v>
      </c>
      <c r="M13" s="12">
        <f t="shared" si="10"/>
        <v>1.7605615375609789</v>
      </c>
      <c r="N13" s="12">
        <f t="shared" si="11"/>
        <v>-3.030914183623489</v>
      </c>
      <c r="O13" s="12">
        <f t="shared" si="12"/>
        <v>56.556232304056508</v>
      </c>
      <c r="P13" s="12">
        <f t="shared" si="13"/>
        <v>59.390846903611759</v>
      </c>
      <c r="Q13" s="12">
        <f t="shared" si="14"/>
        <v>58.447866654349532</v>
      </c>
    </row>
    <row r="14" spans="1:26">
      <c r="A14" s="10">
        <v>35</v>
      </c>
      <c r="B14" s="10">
        <f t="shared" si="1"/>
        <v>-65</v>
      </c>
      <c r="C14" s="12">
        <f t="shared" si="2"/>
        <v>-13.443767695943496</v>
      </c>
      <c r="D14" s="12">
        <f t="shared" si="3"/>
        <v>57.290688274503196</v>
      </c>
      <c r="E14" s="12">
        <f t="shared" si="4"/>
        <v>-6.656347441605722</v>
      </c>
      <c r="F14" s="12">
        <f t="shared" si="5"/>
        <v>60.104214095955264</v>
      </c>
      <c r="G14" s="12">
        <f t="shared" si="6"/>
        <v>-2.8998413708914361</v>
      </c>
      <c r="I14" s="12">
        <f t="shared" si="7"/>
        <v>-51.556232304056508</v>
      </c>
      <c r="J14" s="12">
        <f t="shared" si="0"/>
        <v>-7.7093117254968035</v>
      </c>
      <c r="K14" s="12">
        <f t="shared" si="8"/>
        <v>-6.787420254337774</v>
      </c>
      <c r="L14" s="12">
        <f t="shared" si="9"/>
        <v>2.8135258214520675</v>
      </c>
      <c r="M14" s="12">
        <f t="shared" si="10"/>
        <v>1.760561537560986</v>
      </c>
      <c r="N14" s="12">
        <f t="shared" si="11"/>
        <v>-3.030914183623489</v>
      </c>
      <c r="O14" s="12">
        <f t="shared" si="12"/>
        <v>51.556232304056508</v>
      </c>
      <c r="P14" s="12">
        <f t="shared" si="13"/>
        <v>54.390846903611759</v>
      </c>
      <c r="Q14" s="12">
        <f t="shared" si="14"/>
        <v>53.447866654349539</v>
      </c>
    </row>
    <row r="15" spans="1:26">
      <c r="A15" s="10">
        <v>40</v>
      </c>
      <c r="B15" s="10">
        <f t="shared" si="1"/>
        <v>-60</v>
      </c>
      <c r="C15" s="12">
        <f t="shared" si="2"/>
        <v>-13.443767695943496</v>
      </c>
      <c r="D15" s="12">
        <f t="shared" si="3"/>
        <v>52.290688274503196</v>
      </c>
      <c r="E15" s="12">
        <f t="shared" si="4"/>
        <v>-6.656347441605722</v>
      </c>
      <c r="F15" s="12">
        <f t="shared" si="5"/>
        <v>55.104214095955264</v>
      </c>
      <c r="G15" s="12">
        <f t="shared" si="6"/>
        <v>-2.8998413708914361</v>
      </c>
      <c r="I15" s="12">
        <f t="shared" si="7"/>
        <v>-46.556232304056508</v>
      </c>
      <c r="J15" s="12">
        <f t="shared" si="0"/>
        <v>-7.7093117254968035</v>
      </c>
      <c r="K15" s="12">
        <f t="shared" si="8"/>
        <v>-6.787420254337774</v>
      </c>
      <c r="L15" s="12">
        <f t="shared" si="9"/>
        <v>2.8135258214520675</v>
      </c>
      <c r="M15" s="12">
        <f t="shared" si="10"/>
        <v>1.760561537560986</v>
      </c>
      <c r="N15" s="12">
        <f t="shared" si="11"/>
        <v>-3.030914183623489</v>
      </c>
      <c r="O15" s="12">
        <f t="shared" si="12"/>
        <v>46.556232304056508</v>
      </c>
      <c r="P15" s="12">
        <f t="shared" si="13"/>
        <v>49.390846903611759</v>
      </c>
      <c r="Q15" s="12">
        <f t="shared" si="14"/>
        <v>48.447866654349539</v>
      </c>
    </row>
    <row r="16" spans="1:26">
      <c r="A16" s="10">
        <v>45</v>
      </c>
      <c r="B16" s="10">
        <f t="shared" si="1"/>
        <v>-55</v>
      </c>
      <c r="C16" s="12">
        <f t="shared" si="2"/>
        <v>-13.443767695943496</v>
      </c>
      <c r="D16" s="12">
        <f t="shared" si="3"/>
        <v>47.290688274503196</v>
      </c>
      <c r="E16" s="12">
        <f t="shared" si="4"/>
        <v>-6.656347441605722</v>
      </c>
      <c r="F16" s="12">
        <f t="shared" si="5"/>
        <v>50.104214095955264</v>
      </c>
      <c r="G16" s="12">
        <f t="shared" si="6"/>
        <v>-2.8998413708914361</v>
      </c>
      <c r="I16" s="12">
        <f t="shared" si="7"/>
        <v>-41.556232304056508</v>
      </c>
      <c r="J16" s="12">
        <f t="shared" si="0"/>
        <v>-7.7093117254968035</v>
      </c>
      <c r="K16" s="12">
        <f t="shared" si="8"/>
        <v>-6.787420254337774</v>
      </c>
      <c r="L16" s="12">
        <f t="shared" si="9"/>
        <v>2.8135258214520675</v>
      </c>
      <c r="M16" s="12">
        <f t="shared" si="10"/>
        <v>1.760561537560986</v>
      </c>
      <c r="N16" s="12">
        <f t="shared" si="11"/>
        <v>-3.030914183623489</v>
      </c>
      <c r="O16" s="12">
        <f t="shared" si="12"/>
        <v>41.556232304056508</v>
      </c>
      <c r="P16" s="12">
        <f t="shared" si="13"/>
        <v>44.390846903611759</v>
      </c>
      <c r="Q16" s="12">
        <f t="shared" si="14"/>
        <v>43.447866654349539</v>
      </c>
    </row>
    <row r="17" spans="1:17">
      <c r="A17" s="10">
        <v>50</v>
      </c>
      <c r="B17" s="10">
        <f t="shared" si="1"/>
        <v>-50</v>
      </c>
      <c r="C17" s="12">
        <f t="shared" si="2"/>
        <v>-13.443767695943496</v>
      </c>
      <c r="D17" s="12">
        <f t="shared" si="3"/>
        <v>42.290688274503196</v>
      </c>
      <c r="E17" s="12">
        <f t="shared" si="4"/>
        <v>-6.656347441605722</v>
      </c>
      <c r="F17" s="12">
        <f t="shared" si="5"/>
        <v>45.104214095955264</v>
      </c>
      <c r="G17" s="12">
        <f t="shared" si="6"/>
        <v>-2.8998413708914361</v>
      </c>
      <c r="I17" s="12">
        <f t="shared" si="7"/>
        <v>-36.556232304056508</v>
      </c>
      <c r="J17" s="12">
        <f t="shared" si="0"/>
        <v>-7.7093117254968035</v>
      </c>
      <c r="K17" s="12">
        <f t="shared" si="8"/>
        <v>-6.787420254337774</v>
      </c>
      <c r="L17" s="12">
        <f t="shared" si="9"/>
        <v>2.8135258214520675</v>
      </c>
      <c r="M17" s="12">
        <f t="shared" si="10"/>
        <v>1.760561537560986</v>
      </c>
      <c r="N17" s="12">
        <f t="shared" si="11"/>
        <v>-3.030914183623489</v>
      </c>
      <c r="O17" s="12">
        <f t="shared" si="12"/>
        <v>36.556232304056508</v>
      </c>
      <c r="P17" s="12">
        <f t="shared" si="13"/>
        <v>39.390846903611759</v>
      </c>
      <c r="Q17" s="12">
        <f t="shared" si="14"/>
        <v>38.447866654349539</v>
      </c>
    </row>
    <row r="18" spans="1:17">
      <c r="A18" s="10">
        <v>55</v>
      </c>
      <c r="B18" s="10">
        <f t="shared" si="1"/>
        <v>-45</v>
      </c>
      <c r="C18" s="12">
        <f t="shared" si="2"/>
        <v>-13.443767695943496</v>
      </c>
      <c r="D18" s="12">
        <f t="shared" si="3"/>
        <v>37.290688274503196</v>
      </c>
      <c r="E18" s="12">
        <f t="shared" si="4"/>
        <v>-6.656347441605722</v>
      </c>
      <c r="F18" s="12">
        <f t="shared" si="5"/>
        <v>40.104214095955264</v>
      </c>
      <c r="G18" s="12">
        <f t="shared" si="6"/>
        <v>-2.8998413708914361</v>
      </c>
      <c r="I18" s="12">
        <f t="shared" si="7"/>
        <v>-31.556232304056504</v>
      </c>
      <c r="J18" s="12">
        <f t="shared" si="0"/>
        <v>-7.7093117254968035</v>
      </c>
      <c r="K18" s="12">
        <f t="shared" si="8"/>
        <v>-6.787420254337774</v>
      </c>
      <c r="L18" s="12">
        <f t="shared" si="9"/>
        <v>2.8135258214520675</v>
      </c>
      <c r="M18" s="12">
        <f t="shared" si="10"/>
        <v>1.760561537560986</v>
      </c>
      <c r="N18" s="12">
        <f t="shared" si="11"/>
        <v>-3.030914183623489</v>
      </c>
      <c r="O18" s="12">
        <f t="shared" si="12"/>
        <v>31.556232304056504</v>
      </c>
      <c r="P18" s="12">
        <f t="shared" si="13"/>
        <v>34.390846903611759</v>
      </c>
      <c r="Q18" s="12">
        <f t="shared" si="14"/>
        <v>33.447866654349539</v>
      </c>
    </row>
    <row r="19" spans="1:17">
      <c r="A19" s="10">
        <v>60</v>
      </c>
      <c r="B19" s="10">
        <f t="shared" si="1"/>
        <v>-40</v>
      </c>
      <c r="C19" s="12">
        <f t="shared" si="2"/>
        <v>-13.443767695943496</v>
      </c>
      <c r="D19" s="12">
        <f t="shared" si="3"/>
        <v>32.290688274503196</v>
      </c>
      <c r="E19" s="12">
        <f t="shared" si="4"/>
        <v>-6.656347441605722</v>
      </c>
      <c r="F19" s="12">
        <f t="shared" si="5"/>
        <v>35.104214095955264</v>
      </c>
      <c r="G19" s="12">
        <f t="shared" si="6"/>
        <v>-2.8998413708914361</v>
      </c>
      <c r="I19" s="12">
        <f t="shared" si="7"/>
        <v>-26.556232304056504</v>
      </c>
      <c r="J19" s="12">
        <f t="shared" si="0"/>
        <v>-7.7093117254968035</v>
      </c>
      <c r="K19" s="12">
        <f t="shared" si="8"/>
        <v>-6.787420254337774</v>
      </c>
      <c r="L19" s="12">
        <f t="shared" si="9"/>
        <v>2.8135258214520675</v>
      </c>
      <c r="M19" s="12">
        <f t="shared" si="10"/>
        <v>1.760561537560986</v>
      </c>
      <c r="N19" s="12">
        <f t="shared" si="11"/>
        <v>-3.030914183623489</v>
      </c>
      <c r="O19" s="12">
        <f t="shared" si="12"/>
        <v>26.556232304056504</v>
      </c>
      <c r="P19" s="12">
        <f t="shared" si="13"/>
        <v>29.390846903611759</v>
      </c>
      <c r="Q19" s="12">
        <f t="shared" si="14"/>
        <v>28.447866654349543</v>
      </c>
    </row>
    <row r="20" spans="1:17">
      <c r="A20" s="10">
        <v>65</v>
      </c>
      <c r="B20" s="10">
        <f t="shared" si="1"/>
        <v>-35</v>
      </c>
      <c r="C20" s="12">
        <f t="shared" si="2"/>
        <v>-13.443767695943496</v>
      </c>
      <c r="D20" s="12">
        <f t="shared" si="3"/>
        <v>27.290688274503196</v>
      </c>
      <c r="E20" s="12">
        <f t="shared" si="4"/>
        <v>-6.656347441605722</v>
      </c>
      <c r="F20" s="12">
        <f t="shared" si="5"/>
        <v>30.104214095955264</v>
      </c>
      <c r="G20" s="12">
        <f t="shared" si="6"/>
        <v>-2.8998413708914361</v>
      </c>
      <c r="I20" s="12">
        <f t="shared" si="7"/>
        <v>-21.556232304056504</v>
      </c>
      <c r="J20" s="12">
        <f t="shared" si="0"/>
        <v>-7.7093117254968035</v>
      </c>
      <c r="K20" s="12">
        <f t="shared" si="8"/>
        <v>-6.787420254337774</v>
      </c>
      <c r="L20" s="12">
        <f t="shared" si="9"/>
        <v>2.8135258214520675</v>
      </c>
      <c r="M20" s="12">
        <f t="shared" si="10"/>
        <v>1.760561537560986</v>
      </c>
      <c r="N20" s="12">
        <f t="shared" si="11"/>
        <v>-3.030914183623489</v>
      </c>
      <c r="O20" s="12">
        <f t="shared" si="12"/>
        <v>21.556232304056504</v>
      </c>
      <c r="P20" s="12">
        <f t="shared" si="13"/>
        <v>24.390846903611759</v>
      </c>
      <c r="Q20" s="12">
        <f t="shared" si="14"/>
        <v>23.447866654349543</v>
      </c>
    </row>
    <row r="21" spans="1:17">
      <c r="A21" s="10">
        <v>70</v>
      </c>
      <c r="B21" s="10">
        <f t="shared" si="1"/>
        <v>-30</v>
      </c>
      <c r="C21" s="12">
        <f t="shared" si="2"/>
        <v>-13.443767695943496</v>
      </c>
      <c r="D21" s="12">
        <f t="shared" si="3"/>
        <v>22.290688274503196</v>
      </c>
      <c r="E21" s="12">
        <f t="shared" si="4"/>
        <v>-6.656347441605722</v>
      </c>
      <c r="F21" s="12">
        <f t="shared" si="5"/>
        <v>25.104214095955264</v>
      </c>
      <c r="G21" s="12">
        <f t="shared" si="6"/>
        <v>-2.8998413708914361</v>
      </c>
      <c r="I21" s="12">
        <f t="shared" si="7"/>
        <v>-16.556232304056504</v>
      </c>
      <c r="J21" s="12">
        <f t="shared" si="0"/>
        <v>-7.7093117254968035</v>
      </c>
      <c r="K21" s="12">
        <f t="shared" si="8"/>
        <v>-6.787420254337774</v>
      </c>
      <c r="L21" s="12">
        <f t="shared" si="9"/>
        <v>2.8135258214520675</v>
      </c>
      <c r="M21" s="12">
        <f t="shared" si="10"/>
        <v>1.760561537560986</v>
      </c>
      <c r="N21" s="12">
        <f t="shared" si="11"/>
        <v>-3.030914183623489</v>
      </c>
      <c r="O21" s="12">
        <f t="shared" si="12"/>
        <v>16.556232304056504</v>
      </c>
      <c r="P21" s="12">
        <f t="shared" si="13"/>
        <v>19.390846903611759</v>
      </c>
      <c r="Q21" s="12">
        <f t="shared" si="14"/>
        <v>18.447866654349543</v>
      </c>
    </row>
    <row r="22" spans="1:17">
      <c r="A22" s="10">
        <v>75</v>
      </c>
      <c r="B22" s="10">
        <f t="shared" si="1"/>
        <v>-25</v>
      </c>
      <c r="C22" s="12">
        <f t="shared" si="2"/>
        <v>-13.443767695943496</v>
      </c>
      <c r="D22" s="12">
        <f t="shared" si="3"/>
        <v>17.290688274503196</v>
      </c>
      <c r="E22" s="12">
        <f t="shared" si="4"/>
        <v>-6.656347441605722</v>
      </c>
      <c r="F22" s="12">
        <f t="shared" si="5"/>
        <v>20.104214095955264</v>
      </c>
      <c r="G22" s="12">
        <f t="shared" si="6"/>
        <v>-2.8998413708914361</v>
      </c>
      <c r="I22" s="12">
        <f t="shared" si="7"/>
        <v>-11.556232304056504</v>
      </c>
      <c r="J22" s="12">
        <f t="shared" si="0"/>
        <v>-7.7093117254968035</v>
      </c>
      <c r="K22" s="12">
        <f t="shared" si="8"/>
        <v>-6.787420254337774</v>
      </c>
      <c r="L22" s="12">
        <f t="shared" si="9"/>
        <v>2.8135258214520675</v>
      </c>
      <c r="M22" s="12">
        <f t="shared" si="10"/>
        <v>1.760561537560986</v>
      </c>
      <c r="N22" s="12">
        <f t="shared" si="11"/>
        <v>-3.030914183623489</v>
      </c>
      <c r="O22" s="12">
        <f t="shared" si="12"/>
        <v>11.556232304056504</v>
      </c>
      <c r="P22" s="12">
        <f t="shared" si="13"/>
        <v>14.390846903611759</v>
      </c>
      <c r="Q22" s="12">
        <f t="shared" si="14"/>
        <v>13.447866654349543</v>
      </c>
    </row>
    <row r="23" spans="1:17">
      <c r="A23" s="10">
        <v>80</v>
      </c>
      <c r="B23" s="10">
        <f t="shared" si="1"/>
        <v>-20</v>
      </c>
      <c r="C23" s="12">
        <f t="shared" si="2"/>
        <v>-13.443767695943496</v>
      </c>
      <c r="D23" s="12">
        <f t="shared" si="3"/>
        <v>12.290688274503195</v>
      </c>
      <c r="E23" s="12">
        <f t="shared" si="4"/>
        <v>-6.656347441605722</v>
      </c>
      <c r="F23" s="12">
        <f t="shared" si="5"/>
        <v>15.104214095955264</v>
      </c>
      <c r="G23" s="12">
        <f t="shared" si="6"/>
        <v>-2.8998413708914361</v>
      </c>
      <c r="I23" s="12">
        <f t="shared" si="7"/>
        <v>-6.556232304056504</v>
      </c>
      <c r="J23" s="12">
        <f t="shared" si="0"/>
        <v>-7.7093117254968053</v>
      </c>
      <c r="K23" s="12">
        <f t="shared" si="8"/>
        <v>-6.787420254337774</v>
      </c>
      <c r="L23" s="12">
        <f t="shared" si="9"/>
        <v>2.8135258214520693</v>
      </c>
      <c r="M23" s="12">
        <f t="shared" si="10"/>
        <v>1.760561537560986</v>
      </c>
      <c r="N23" s="12">
        <f t="shared" si="11"/>
        <v>-3.030914183623489</v>
      </c>
      <c r="O23" s="12">
        <f t="shared" si="12"/>
        <v>6.556232304056504</v>
      </c>
      <c r="P23" s="12">
        <f t="shared" si="13"/>
        <v>9.3908469036117594</v>
      </c>
      <c r="Q23" s="12">
        <f t="shared" si="14"/>
        <v>8.4478666543495429</v>
      </c>
    </row>
    <row r="24" spans="1:17">
      <c r="A24" s="10">
        <v>85</v>
      </c>
      <c r="B24" s="10">
        <f t="shared" si="1"/>
        <v>-15</v>
      </c>
      <c r="C24" s="12">
        <f t="shared" si="2"/>
        <v>-13.443767695943496</v>
      </c>
      <c r="D24" s="12">
        <f t="shared" si="3"/>
        <v>7.2906882745031947</v>
      </c>
      <c r="E24" s="12">
        <f t="shared" si="4"/>
        <v>-6.656347441605722</v>
      </c>
      <c r="F24" s="12">
        <f t="shared" si="5"/>
        <v>10.104214095955264</v>
      </c>
      <c r="G24" s="12">
        <f t="shared" si="6"/>
        <v>-2.8998413708914361</v>
      </c>
      <c r="I24" s="12">
        <f t="shared" si="7"/>
        <v>-1.556232304056504</v>
      </c>
      <c r="J24" s="12">
        <f t="shared" si="0"/>
        <v>-7.7093117254968053</v>
      </c>
      <c r="K24" s="12">
        <f t="shared" si="8"/>
        <v>-6.787420254337774</v>
      </c>
      <c r="L24" s="12">
        <f t="shared" si="9"/>
        <v>2.8135258214520693</v>
      </c>
      <c r="M24" s="12">
        <f t="shared" si="10"/>
        <v>1.760561537560986</v>
      </c>
      <c r="N24" s="12">
        <f t="shared" si="11"/>
        <v>-3.030914183623489</v>
      </c>
      <c r="O24" s="12">
        <f t="shared" si="12"/>
        <v>1.556232304056504</v>
      </c>
      <c r="P24" s="12">
        <f t="shared" si="13"/>
        <v>4.3908469036117586</v>
      </c>
      <c r="Q24" s="12">
        <f t="shared" si="14"/>
        <v>3.447866654349542</v>
      </c>
    </row>
    <row r="25" spans="1:17">
      <c r="A25" s="10">
        <v>90</v>
      </c>
      <c r="B25" s="10">
        <f t="shared" si="1"/>
        <v>-10</v>
      </c>
      <c r="C25" s="12">
        <f t="shared" si="2"/>
        <v>-13.443767695943496</v>
      </c>
      <c r="D25" s="12">
        <f t="shared" si="3"/>
        <v>2.2906882745031951</v>
      </c>
      <c r="E25" s="12">
        <f t="shared" si="4"/>
        <v>-6.656347441605722</v>
      </c>
      <c r="F25" s="12">
        <f t="shared" si="5"/>
        <v>5.104214095955264</v>
      </c>
      <c r="G25" s="12">
        <f t="shared" si="6"/>
        <v>-2.8998413708914361</v>
      </c>
      <c r="I25" s="12">
        <f t="shared" si="7"/>
        <v>3.443767695943496</v>
      </c>
      <c r="J25" s="12">
        <f t="shared" si="0"/>
        <v>-7.7093117254968053</v>
      </c>
      <c r="K25" s="12">
        <f t="shared" si="8"/>
        <v>-6.787420254337774</v>
      </c>
      <c r="L25" s="12">
        <f t="shared" si="9"/>
        <v>2.8135258214520689</v>
      </c>
      <c r="M25" s="12">
        <f t="shared" si="10"/>
        <v>1.760561537560986</v>
      </c>
      <c r="N25" s="12">
        <f t="shared" si="11"/>
        <v>-3.030914183623489</v>
      </c>
      <c r="O25" s="12">
        <f t="shared" si="12"/>
        <v>-3.443767695943496</v>
      </c>
      <c r="P25" s="12">
        <f t="shared" si="13"/>
        <v>-0.609153096388241</v>
      </c>
      <c r="Q25" s="12">
        <f t="shared" si="14"/>
        <v>-1.552133345650458</v>
      </c>
    </row>
    <row r="26" spans="1:17">
      <c r="A26" s="10">
        <v>95</v>
      </c>
      <c r="B26" s="10">
        <f t="shared" si="1"/>
        <v>-5</v>
      </c>
      <c r="C26" s="12">
        <f t="shared" si="2"/>
        <v>-8.443767695943496</v>
      </c>
      <c r="D26" s="12">
        <f t="shared" si="3"/>
        <v>-2.7093117254968049</v>
      </c>
      <c r="E26" s="12">
        <f t="shared" si="4"/>
        <v>-6.656347441605722</v>
      </c>
      <c r="F26" s="12">
        <f t="shared" si="5"/>
        <v>0.10421409595526399</v>
      </c>
      <c r="G26" s="12">
        <f t="shared" si="6"/>
        <v>-2.8998413708914361</v>
      </c>
      <c r="I26" s="12">
        <f t="shared" si="7"/>
        <v>3.443767695943496</v>
      </c>
      <c r="J26" s="12">
        <f t="shared" si="0"/>
        <v>-7.7093117254968053</v>
      </c>
      <c r="K26" s="12">
        <f t="shared" si="8"/>
        <v>-1.787420254337774</v>
      </c>
      <c r="L26" s="12">
        <f t="shared" si="9"/>
        <v>2.8135258214520689</v>
      </c>
      <c r="M26" s="12">
        <f t="shared" si="10"/>
        <v>1.760561537560986</v>
      </c>
      <c r="N26" s="12">
        <f t="shared" si="11"/>
        <v>1.969085816376511</v>
      </c>
      <c r="O26" s="12">
        <f t="shared" si="12"/>
        <v>-3.443767695943496</v>
      </c>
      <c r="P26" s="12">
        <f t="shared" si="13"/>
        <v>-5.6091530963882406</v>
      </c>
      <c r="Q26" s="12">
        <f t="shared" si="14"/>
        <v>-6.552133345650458</v>
      </c>
    </row>
    <row r="27" spans="1:17">
      <c r="A27" s="10">
        <v>100</v>
      </c>
      <c r="B27" s="10">
        <f t="shared" si="1"/>
        <v>0</v>
      </c>
      <c r="C27" s="12">
        <f t="shared" si="2"/>
        <v>-3.443767695943496</v>
      </c>
      <c r="D27" s="12">
        <f t="shared" si="3"/>
        <v>-2.7093117254968049</v>
      </c>
      <c r="E27" s="12">
        <f t="shared" si="4"/>
        <v>-6.656347441605722</v>
      </c>
      <c r="F27" s="12">
        <f t="shared" si="5"/>
        <v>-3.895785904044736</v>
      </c>
      <c r="G27" s="12">
        <f t="shared" si="6"/>
        <v>-2.8998413708914361</v>
      </c>
      <c r="I27" s="12">
        <f t="shared" si="7"/>
        <v>3.443767695943496</v>
      </c>
      <c r="J27" s="12">
        <f t="shared" si="0"/>
        <v>-2.7093117254968049</v>
      </c>
      <c r="K27" s="12">
        <f t="shared" si="8"/>
        <v>3.212579745662226</v>
      </c>
      <c r="L27" s="12">
        <f t="shared" si="9"/>
        <v>-1.1864741785479311</v>
      </c>
      <c r="M27" s="12">
        <f t="shared" si="10"/>
        <v>2.760561537560986</v>
      </c>
      <c r="N27" s="12">
        <f t="shared" si="11"/>
        <v>6.9690858163765119</v>
      </c>
      <c r="O27" s="12">
        <f t="shared" si="12"/>
        <v>-3.443767695943496</v>
      </c>
      <c r="P27" s="12">
        <f t="shared" si="13"/>
        <v>-5.6091530963882406</v>
      </c>
      <c r="Q27" s="12">
        <f t="shared" si="14"/>
        <v>-10.552133345650457</v>
      </c>
    </row>
    <row r="28" spans="1:17">
      <c r="A28" s="10">
        <v>105</v>
      </c>
      <c r="B28" s="10">
        <f t="shared" si="1"/>
        <v>5</v>
      </c>
      <c r="C28" s="12">
        <f t="shared" si="2"/>
        <v>1.556232304056504</v>
      </c>
      <c r="D28" s="12">
        <f t="shared" si="3"/>
        <v>-2.7093117254968049</v>
      </c>
      <c r="E28" s="12">
        <f t="shared" si="4"/>
        <v>-1.656347441605722</v>
      </c>
      <c r="F28" s="12">
        <f t="shared" si="5"/>
        <v>-3.895785904044736</v>
      </c>
      <c r="G28" s="12">
        <f t="shared" si="6"/>
        <v>-2.8998413708914361</v>
      </c>
      <c r="I28" s="12">
        <f t="shared" si="7"/>
        <v>3.443767695943496</v>
      </c>
      <c r="J28" s="12">
        <f t="shared" si="0"/>
        <v>2.2906882745031951</v>
      </c>
      <c r="K28" s="12">
        <f t="shared" si="8"/>
        <v>3.212579745662226</v>
      </c>
      <c r="L28" s="12">
        <f t="shared" si="9"/>
        <v>-1.1864741785479311</v>
      </c>
      <c r="M28" s="12">
        <f t="shared" si="10"/>
        <v>2.760561537560986</v>
      </c>
      <c r="N28" s="12">
        <f t="shared" si="11"/>
        <v>1.9690858163765119</v>
      </c>
      <c r="O28" s="12">
        <f t="shared" si="12"/>
        <v>-3.443767695943496</v>
      </c>
      <c r="P28" s="12">
        <f t="shared" si="13"/>
        <v>-5.6091530963882406</v>
      </c>
      <c r="Q28" s="12">
        <f t="shared" si="14"/>
        <v>-5.552133345650458</v>
      </c>
    </row>
    <row r="29" spans="1:17">
      <c r="A29" s="10">
        <v>110</v>
      </c>
      <c r="B29" s="10">
        <f t="shared" si="1"/>
        <v>10</v>
      </c>
      <c r="C29" s="12">
        <f t="shared" si="2"/>
        <v>6.556232304056504</v>
      </c>
      <c r="D29" s="12">
        <f t="shared" si="3"/>
        <v>-2.7093117254968049</v>
      </c>
      <c r="E29" s="12">
        <f t="shared" si="4"/>
        <v>3.343652558394278</v>
      </c>
      <c r="F29" s="12">
        <f t="shared" si="5"/>
        <v>-3.895785904044736</v>
      </c>
      <c r="G29" s="12">
        <f t="shared" si="6"/>
        <v>-2.8998413708914361</v>
      </c>
      <c r="I29" s="12">
        <f t="shared" si="7"/>
        <v>3.443767695943496</v>
      </c>
      <c r="J29" s="12">
        <f t="shared" si="0"/>
        <v>7.2906882745031947</v>
      </c>
      <c r="K29" s="12">
        <f t="shared" si="8"/>
        <v>3.212579745662226</v>
      </c>
      <c r="L29" s="12">
        <f t="shared" si="9"/>
        <v>-1.1864741785479311</v>
      </c>
      <c r="M29" s="12">
        <f t="shared" si="10"/>
        <v>2.760561537560986</v>
      </c>
      <c r="N29" s="12">
        <f t="shared" si="11"/>
        <v>-3.0309141836234881</v>
      </c>
      <c r="O29" s="12">
        <f t="shared" si="12"/>
        <v>-3.443767695943496</v>
      </c>
      <c r="P29" s="12">
        <f t="shared" si="13"/>
        <v>-5.6091530963882406</v>
      </c>
      <c r="Q29" s="12">
        <f t="shared" si="14"/>
        <v>-0.55213334565045802</v>
      </c>
    </row>
    <row r="30" spans="1:17">
      <c r="A30" s="10">
        <v>115</v>
      </c>
      <c r="B30" s="10">
        <f t="shared" si="1"/>
        <v>15</v>
      </c>
      <c r="C30" s="12">
        <f t="shared" si="2"/>
        <v>11.556232304056504</v>
      </c>
      <c r="D30" s="12">
        <f t="shared" si="3"/>
        <v>-2.7093117254968049</v>
      </c>
      <c r="E30" s="12">
        <f t="shared" si="4"/>
        <v>8.3436525583942789</v>
      </c>
      <c r="F30" s="12">
        <f t="shared" si="5"/>
        <v>-3.895785904044736</v>
      </c>
      <c r="G30" s="12">
        <f t="shared" si="6"/>
        <v>2.1001586291085639</v>
      </c>
      <c r="I30" s="12">
        <f t="shared" si="7"/>
        <v>3.443767695943496</v>
      </c>
      <c r="J30" s="12">
        <f t="shared" si="0"/>
        <v>12.290688274503195</v>
      </c>
      <c r="K30" s="12">
        <f t="shared" si="8"/>
        <v>3.2125797456622252</v>
      </c>
      <c r="L30" s="12">
        <f t="shared" si="9"/>
        <v>-1.1864741785479311</v>
      </c>
      <c r="M30" s="12">
        <f t="shared" si="10"/>
        <v>2.7605615375609851</v>
      </c>
      <c r="N30" s="12">
        <f t="shared" si="11"/>
        <v>-3.0309141836234907</v>
      </c>
      <c r="O30" s="12">
        <f t="shared" si="12"/>
        <v>-3.443767695943496</v>
      </c>
      <c r="P30" s="12">
        <f t="shared" si="13"/>
        <v>-0.609153096388241</v>
      </c>
      <c r="Q30" s="12">
        <f t="shared" si="14"/>
        <v>4.4478666543495429</v>
      </c>
    </row>
    <row r="31" spans="1:17">
      <c r="A31" s="10">
        <v>120</v>
      </c>
      <c r="B31" s="10">
        <f t="shared" si="1"/>
        <v>20</v>
      </c>
      <c r="C31" s="12">
        <f t="shared" si="2"/>
        <v>16.556232304056504</v>
      </c>
      <c r="D31" s="12">
        <f t="shared" si="3"/>
        <v>-2.7093117254968049</v>
      </c>
      <c r="E31" s="12">
        <f t="shared" si="4"/>
        <v>13.343652558394279</v>
      </c>
      <c r="F31" s="12">
        <f t="shared" si="5"/>
        <v>-3.895785904044736</v>
      </c>
      <c r="G31" s="12">
        <f t="shared" si="6"/>
        <v>7.1001586291085639</v>
      </c>
      <c r="I31" s="12">
        <f t="shared" si="7"/>
        <v>3.443767695943496</v>
      </c>
      <c r="J31" s="12">
        <f t="shared" si="0"/>
        <v>17.290688274503196</v>
      </c>
      <c r="K31" s="12">
        <f t="shared" si="8"/>
        <v>3.2125797456622252</v>
      </c>
      <c r="L31" s="12">
        <f t="shared" si="9"/>
        <v>-1.1864741785479311</v>
      </c>
      <c r="M31" s="12">
        <f t="shared" si="10"/>
        <v>2.7605615375609851</v>
      </c>
      <c r="N31" s="12">
        <f t="shared" si="11"/>
        <v>-3.0309141836234907</v>
      </c>
      <c r="O31" s="12">
        <f t="shared" si="12"/>
        <v>-3.443767695943496</v>
      </c>
      <c r="P31" s="12">
        <f t="shared" si="13"/>
        <v>4.3908469036117594</v>
      </c>
      <c r="Q31" s="12">
        <f t="shared" si="14"/>
        <v>9.4478666543495429</v>
      </c>
    </row>
    <row r="32" spans="1:17">
      <c r="A32" s="10">
        <v>125</v>
      </c>
      <c r="B32" s="10">
        <f t="shared" si="1"/>
        <v>25</v>
      </c>
      <c r="C32" s="12">
        <f t="shared" si="2"/>
        <v>21.556232304056504</v>
      </c>
      <c r="D32" s="12">
        <f t="shared" si="3"/>
        <v>-2.7093117254968049</v>
      </c>
      <c r="E32" s="12">
        <f t="shared" si="4"/>
        <v>18.343652558394279</v>
      </c>
      <c r="F32" s="12">
        <f t="shared" si="5"/>
        <v>-3.895785904044736</v>
      </c>
      <c r="G32" s="12">
        <f t="shared" si="6"/>
        <v>12.100158629108563</v>
      </c>
      <c r="I32" s="12">
        <f t="shared" si="7"/>
        <v>3.443767695943496</v>
      </c>
      <c r="J32" s="12">
        <f t="shared" si="0"/>
        <v>22.290688274503196</v>
      </c>
      <c r="K32" s="12">
        <f t="shared" si="8"/>
        <v>3.2125797456622252</v>
      </c>
      <c r="L32" s="12">
        <f t="shared" si="9"/>
        <v>-1.1864741785479311</v>
      </c>
      <c r="M32" s="12">
        <f t="shared" si="10"/>
        <v>2.7605615375609851</v>
      </c>
      <c r="N32" s="12">
        <f t="shared" si="11"/>
        <v>-3.0309141836234872</v>
      </c>
      <c r="O32" s="12">
        <f t="shared" si="12"/>
        <v>-3.443767695943496</v>
      </c>
      <c r="P32" s="12">
        <f t="shared" si="13"/>
        <v>9.3908469036117577</v>
      </c>
      <c r="Q32" s="12">
        <f t="shared" si="14"/>
        <v>14.447866654349543</v>
      </c>
    </row>
    <row r="33" spans="1:17">
      <c r="A33" s="10">
        <v>130</v>
      </c>
      <c r="B33" s="10">
        <f t="shared" si="1"/>
        <v>30</v>
      </c>
      <c r="C33" s="12">
        <f t="shared" si="2"/>
        <v>26.556232304056504</v>
      </c>
      <c r="D33" s="12">
        <f t="shared" si="3"/>
        <v>-2.7093117254968049</v>
      </c>
      <c r="E33" s="12">
        <f t="shared" si="4"/>
        <v>23.343652558394279</v>
      </c>
      <c r="F33" s="12">
        <f t="shared" si="5"/>
        <v>-3.895785904044736</v>
      </c>
      <c r="G33" s="12">
        <f t="shared" si="6"/>
        <v>17.100158629108563</v>
      </c>
      <c r="I33" s="12">
        <f t="shared" si="7"/>
        <v>3.443767695943496</v>
      </c>
      <c r="J33" s="12">
        <f t="shared" si="0"/>
        <v>27.290688274503196</v>
      </c>
      <c r="K33" s="12">
        <f t="shared" si="8"/>
        <v>3.2125797456622252</v>
      </c>
      <c r="L33" s="12">
        <f t="shared" si="9"/>
        <v>-1.1864741785479311</v>
      </c>
      <c r="M33" s="12">
        <f t="shared" si="10"/>
        <v>2.7605615375609851</v>
      </c>
      <c r="N33" s="12">
        <f t="shared" si="11"/>
        <v>-3.0309141836234872</v>
      </c>
      <c r="O33" s="12">
        <f t="shared" si="12"/>
        <v>-3.443767695943496</v>
      </c>
      <c r="P33" s="12">
        <f t="shared" si="13"/>
        <v>14.390846903611758</v>
      </c>
      <c r="Q33" s="12">
        <f t="shared" si="14"/>
        <v>19.447866654349543</v>
      </c>
    </row>
    <row r="34" spans="1:17">
      <c r="A34" s="10">
        <v>135</v>
      </c>
      <c r="B34" s="10">
        <f t="shared" si="1"/>
        <v>35</v>
      </c>
      <c r="C34" s="12">
        <f t="shared" si="2"/>
        <v>31.556232304056504</v>
      </c>
      <c r="D34" s="12">
        <f t="shared" si="3"/>
        <v>-2.7093117254968049</v>
      </c>
      <c r="E34" s="12">
        <f t="shared" si="4"/>
        <v>28.343652558394279</v>
      </c>
      <c r="F34" s="12">
        <f t="shared" si="5"/>
        <v>-3.895785904044736</v>
      </c>
      <c r="G34" s="12">
        <f t="shared" si="6"/>
        <v>22.100158629108563</v>
      </c>
      <c r="I34" s="12">
        <f t="shared" si="7"/>
        <v>3.443767695943496</v>
      </c>
      <c r="J34" s="12">
        <f t="shared" si="0"/>
        <v>32.290688274503196</v>
      </c>
      <c r="K34" s="12">
        <f t="shared" si="8"/>
        <v>3.2125797456622252</v>
      </c>
      <c r="L34" s="12">
        <f t="shared" si="9"/>
        <v>-1.1864741785479311</v>
      </c>
      <c r="M34" s="12">
        <f t="shared" si="10"/>
        <v>2.7605615375609851</v>
      </c>
      <c r="N34" s="12">
        <f t="shared" si="11"/>
        <v>-3.0309141836234872</v>
      </c>
      <c r="O34" s="12">
        <f t="shared" si="12"/>
        <v>-3.443767695943496</v>
      </c>
      <c r="P34" s="12">
        <f t="shared" si="13"/>
        <v>19.390846903611759</v>
      </c>
      <c r="Q34" s="12">
        <f t="shared" si="14"/>
        <v>24.447866654349543</v>
      </c>
    </row>
    <row r="35" spans="1:17">
      <c r="A35" s="10">
        <v>140</v>
      </c>
      <c r="B35" s="10">
        <f t="shared" si="1"/>
        <v>40</v>
      </c>
      <c r="C35" s="12">
        <f t="shared" si="2"/>
        <v>36.556232304056508</v>
      </c>
      <c r="D35" s="12">
        <f t="shared" si="3"/>
        <v>-2.7093117254968049</v>
      </c>
      <c r="E35" s="12">
        <f t="shared" si="4"/>
        <v>33.343652558394275</v>
      </c>
      <c r="F35" s="12">
        <f t="shared" si="5"/>
        <v>-3.895785904044736</v>
      </c>
      <c r="G35" s="12">
        <f t="shared" si="6"/>
        <v>27.100158629108563</v>
      </c>
      <c r="I35" s="12">
        <f t="shared" si="7"/>
        <v>3.4437676959434924</v>
      </c>
      <c r="J35" s="12">
        <f t="shared" si="0"/>
        <v>37.290688274503196</v>
      </c>
      <c r="K35" s="12">
        <f t="shared" si="8"/>
        <v>3.2125797456622323</v>
      </c>
      <c r="L35" s="12">
        <f t="shared" si="9"/>
        <v>-1.1864741785479311</v>
      </c>
      <c r="M35" s="12">
        <f t="shared" si="10"/>
        <v>2.7605615375609887</v>
      </c>
      <c r="N35" s="12">
        <f t="shared" si="11"/>
        <v>-3.0309141836234801</v>
      </c>
      <c r="O35" s="12">
        <f t="shared" si="12"/>
        <v>-3.4437676959434924</v>
      </c>
      <c r="P35" s="12">
        <f t="shared" si="13"/>
        <v>24.390846903611759</v>
      </c>
      <c r="Q35" s="12">
        <f t="shared" si="14"/>
        <v>29.447866654349539</v>
      </c>
    </row>
    <row r="36" spans="1:17">
      <c r="A36" s="10">
        <v>145</v>
      </c>
      <c r="B36" s="10">
        <f t="shared" si="1"/>
        <v>45</v>
      </c>
      <c r="C36" s="12">
        <f t="shared" si="2"/>
        <v>41.556232304056508</v>
      </c>
      <c r="D36" s="12">
        <f t="shared" si="3"/>
        <v>-2.7093117254968049</v>
      </c>
      <c r="E36" s="12">
        <f t="shared" si="4"/>
        <v>38.343652558394275</v>
      </c>
      <c r="F36" s="12">
        <f t="shared" si="5"/>
        <v>-3.895785904044736</v>
      </c>
      <c r="G36" s="12">
        <f t="shared" si="6"/>
        <v>32.100158629108563</v>
      </c>
      <c r="I36" s="12">
        <f t="shared" si="7"/>
        <v>3.4437676959434924</v>
      </c>
      <c r="J36" s="12">
        <f t="shared" si="0"/>
        <v>42.290688274503196</v>
      </c>
      <c r="K36" s="12">
        <f t="shared" si="8"/>
        <v>3.2125797456622323</v>
      </c>
      <c r="L36" s="12">
        <f t="shared" si="9"/>
        <v>-1.1864741785479311</v>
      </c>
      <c r="M36" s="12">
        <f t="shared" si="10"/>
        <v>2.7605615375609887</v>
      </c>
      <c r="N36" s="12">
        <f t="shared" si="11"/>
        <v>-3.0309141836234801</v>
      </c>
      <c r="O36" s="12">
        <f t="shared" si="12"/>
        <v>-3.4437676959434924</v>
      </c>
      <c r="P36" s="12">
        <f t="shared" si="13"/>
        <v>29.390846903611759</v>
      </c>
      <c r="Q36" s="12">
        <f t="shared" si="14"/>
        <v>34.447866654349539</v>
      </c>
    </row>
    <row r="37" spans="1:17">
      <c r="A37" s="10">
        <v>150</v>
      </c>
      <c r="B37" s="10">
        <f t="shared" si="1"/>
        <v>50</v>
      </c>
      <c r="C37" s="12">
        <f t="shared" si="2"/>
        <v>46.556232304056508</v>
      </c>
      <c r="D37" s="12">
        <f t="shared" si="3"/>
        <v>-2.7093117254968049</v>
      </c>
      <c r="E37" s="12">
        <f t="shared" si="4"/>
        <v>43.343652558394275</v>
      </c>
      <c r="F37" s="12">
        <f t="shared" si="5"/>
        <v>-3.895785904044736</v>
      </c>
      <c r="G37" s="12">
        <f t="shared" si="6"/>
        <v>37.100158629108563</v>
      </c>
      <c r="I37" s="12">
        <f t="shared" si="7"/>
        <v>3.4437676959434924</v>
      </c>
      <c r="J37" s="12">
        <f t="shared" si="0"/>
        <v>47.290688274503196</v>
      </c>
      <c r="K37" s="12">
        <f t="shared" si="8"/>
        <v>3.2125797456622323</v>
      </c>
      <c r="L37" s="12">
        <f t="shared" si="9"/>
        <v>-1.1864741785479311</v>
      </c>
      <c r="M37" s="12">
        <f t="shared" si="10"/>
        <v>2.7605615375609887</v>
      </c>
      <c r="N37" s="12">
        <f t="shared" si="11"/>
        <v>-3.0309141836234801</v>
      </c>
      <c r="O37" s="12">
        <f t="shared" si="12"/>
        <v>-3.4437676959434924</v>
      </c>
      <c r="P37" s="12">
        <f t="shared" si="13"/>
        <v>34.390846903611759</v>
      </c>
      <c r="Q37" s="12">
        <f t="shared" si="14"/>
        <v>39.447866654349539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7" sqref="I7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Multiperiod Call</vt:lpstr>
      <vt:lpstr>Muliperiod Put</vt:lpstr>
      <vt:lpstr>Mine Lease</vt:lpstr>
      <vt:lpstr>Simulator</vt:lpstr>
      <vt:lpstr>Strategy</vt:lpstr>
      <vt:lpstr>Payoff Diagrams</vt:lpstr>
    </vt:vector>
  </TitlesOfParts>
  <Company>Virginia Retirement System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speterson</dc:creator>
  <cp:lastModifiedBy>sppeterson</cp:lastModifiedBy>
  <dcterms:created xsi:type="dcterms:W3CDTF">2010-10-29T11:44:51Z</dcterms:created>
  <dcterms:modified xsi:type="dcterms:W3CDTF">2011-09-06T17:03:22Z</dcterms:modified>
</cp:coreProperties>
</file>